
<file path=[Content_Types].xml><?xml version="1.0" encoding="utf-8"?>
<Types xmlns="http://schemas.openxmlformats.org/package/2006/content-types">
  <Default Extension="bin" ContentType="application/vnd.openxmlformats-officedocument.spreadsheetml.printerSettings"/>
  <Default Extension="tmp"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chartsheets/sheet3.xml" ContentType="application/vnd.openxmlformats-officedocument.spreadsheetml.chart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harts/chart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Y:\Documents\AQ M3\outils métrologie\vdm\outil v5\version définitive\"/>
    </mc:Choice>
  </mc:AlternateContent>
  <bookViews>
    <workbookView xWindow="0" yWindow="0" windowWidth="20490" windowHeight="8910" tabRatio="978" firstSheet="1" activeTab="15"/>
  </bookViews>
  <sheets>
    <sheet name="Mode d'emploi" sheetId="16" r:id="rId1"/>
    <sheet name="Bilan" sheetId="9" r:id="rId2"/>
    <sheet name="A" sheetId="7" r:id="rId3"/>
    <sheet name="B" sheetId="8" r:id="rId4"/>
    <sheet name="C" sheetId="11" r:id="rId5"/>
    <sheet name="D" sheetId="12" r:id="rId6"/>
    <sheet name="E" sheetId="13" r:id="rId7"/>
    <sheet name="F" sheetId="14" r:id="rId8"/>
    <sheet name="G" sheetId="17" r:id="rId9"/>
    <sheet name="Profil exactitude" sheetId="10" r:id="rId10"/>
    <sheet name="Fonction incertitude" sheetId="19" r:id="rId11"/>
    <sheet name="Fonction biais de mesure" sheetId="23" r:id="rId12"/>
    <sheet name="Choix correction biais" sheetId="24" r:id="rId13"/>
    <sheet name="Expression résultat mesure" sheetId="25" r:id="rId14"/>
    <sheet name="Discrimination et effectif mini" sheetId="26" r:id="rId15"/>
    <sheet name="Valeurs carte de controle" sheetId="27" r:id="rId16"/>
    <sheet name="Dossier de validation" sheetId="28" r:id="rId17"/>
    <sheet name="LOQ" sheetId="21" r:id="rId18"/>
    <sheet name="Profil incertitude" sheetId="18" r:id="rId19"/>
    <sheet name="Texte" sheetId="20" state="veryHidden" r:id="rId20"/>
  </sheets>
  <externalReferences>
    <externalReference r:id="rId21"/>
  </externalReferences>
  <definedNames>
    <definedName name="__123Graph_A" hidden="1">[1]REG!$C$3:$C$68</definedName>
    <definedName name="__123Graph_ARG" hidden="1">[1]REG!$C$3:$C$68</definedName>
    <definedName name="__123Graph_B" hidden="1">[1]REG!$D$3:$D$68</definedName>
    <definedName name="__123Graph_BRG" hidden="1">[1]REG!$D$3:$D$68</definedName>
    <definedName name="__123Graph_C" hidden="1">[1]REG!$E$3:$E$68</definedName>
    <definedName name="__123Graph_CRG" hidden="1">[1]REG!$E$3:$E$68</definedName>
    <definedName name="__123Graph_X" hidden="1">[1]REG!$B$3:$B$68</definedName>
    <definedName name="__123Graph_XRG" hidden="1">[1]REG!$B$3:$B$68</definedName>
    <definedName name="_Fill" hidden="1">[1]REG!$E$16:$E$26</definedName>
    <definedName name="_Key1" hidden="1">[1]REG!$B$3</definedName>
    <definedName name="_Key2" hidden="1">[1]REG!$C$3</definedName>
    <definedName name="_Order1" hidden="1">255</definedName>
    <definedName name="_Order2" hidden="1">255</definedName>
    <definedName name="_Regression_Out" hidden="1">[1]REG!$G$11</definedName>
    <definedName name="_Regression_X" hidden="1">[1]REG!$C$3:$C$68</definedName>
    <definedName name="_Regression_Y" hidden="1">[1]REG!$B$3:$B$68</definedName>
    <definedName name="_Sort" hidden="1">[1]REG!$A$3:$C$68</definedName>
    <definedName name="AW_W">"Chart 6"</definedName>
    <definedName name="incrément">#REF!</definedName>
    <definedName name="Tg">"Chart 7"</definedName>
    <definedName name="_xlnm.Print_Area" localSheetId="2">A!$A$1:$K$54</definedName>
  </definedNames>
  <calcPr calcId="162913"/>
</workbook>
</file>

<file path=xl/calcChain.xml><?xml version="1.0" encoding="utf-8"?>
<calcChain xmlns="http://schemas.openxmlformats.org/spreadsheetml/2006/main">
  <c r="H59" i="21" l="1"/>
  <c r="C36" i="21" l="1"/>
  <c r="B68" i="28" l="1"/>
  <c r="B76" i="28"/>
  <c r="B74" i="28"/>
  <c r="B73" i="28"/>
  <c r="B72" i="28"/>
  <c r="B71" i="28"/>
  <c r="D72" i="28"/>
  <c r="D73" i="28" s="1"/>
  <c r="E72" i="28"/>
  <c r="E73" i="28" s="1"/>
  <c r="F72" i="28"/>
  <c r="F73" i="28" s="1"/>
  <c r="G72" i="28"/>
  <c r="G73" i="28" s="1"/>
  <c r="H72" i="28"/>
  <c r="H73" i="28" s="1"/>
  <c r="I72" i="28"/>
  <c r="I73" i="28" s="1"/>
  <c r="J72" i="28"/>
  <c r="J73" i="28" s="1"/>
  <c r="C72" i="28"/>
  <c r="L72" i="28"/>
  <c r="J61" i="9" l="1"/>
  <c r="J60" i="9"/>
  <c r="J59" i="9"/>
  <c r="J56" i="9"/>
  <c r="J50" i="9"/>
  <c r="J53" i="9" s="1"/>
  <c r="B19" i="28"/>
  <c r="B18" i="28"/>
  <c r="J54" i="9" l="1"/>
  <c r="J51" i="9"/>
  <c r="J55" i="9"/>
  <c r="J52" i="9"/>
  <c r="J47" i="9"/>
  <c r="J46" i="9"/>
  <c r="J45" i="9"/>
  <c r="J44" i="9"/>
  <c r="J43" i="9"/>
  <c r="C68" i="28"/>
  <c r="C67" i="28"/>
  <c r="I74" i="28" l="1"/>
  <c r="F74" i="28"/>
  <c r="E74" i="28"/>
  <c r="J74" i="28"/>
  <c r="D74" i="28"/>
  <c r="H74" i="28"/>
  <c r="K72" i="28"/>
  <c r="C73" i="28"/>
  <c r="C74" i="28" s="1"/>
  <c r="G74" i="28"/>
  <c r="F74" i="26"/>
  <c r="M76" i="26" s="1"/>
  <c r="I76" i="26" l="1"/>
  <c r="K76" i="26"/>
  <c r="B18" i="27"/>
  <c r="C54" i="26" l="1"/>
  <c r="C44" i="26"/>
  <c r="C27" i="26" l="1"/>
  <c r="C15" i="26"/>
  <c r="B32" i="25"/>
  <c r="B16" i="25"/>
  <c r="B31" i="25" l="1"/>
  <c r="B30" i="25"/>
  <c r="B15" i="25"/>
  <c r="B14" i="25"/>
  <c r="H22" i="21" l="1"/>
  <c r="H46" i="21" s="1"/>
  <c r="H50" i="21" s="1"/>
  <c r="H15" i="21"/>
  <c r="H45" i="21" s="1"/>
  <c r="H49" i="21" s="1"/>
  <c r="H20" i="21"/>
  <c r="H21" i="21"/>
  <c r="H18" i="21"/>
  <c r="H19" i="21"/>
  <c r="H14" i="21"/>
  <c r="H13" i="21"/>
  <c r="H12" i="21"/>
  <c r="H11" i="21"/>
  <c r="A19" i="21"/>
  <c r="A20" i="21"/>
  <c r="A21" i="21"/>
  <c r="A18" i="21"/>
  <c r="E6" i="9"/>
  <c r="D33" i="28" l="1"/>
  <c r="T3" i="21"/>
  <c r="A10" i="21"/>
  <c r="H3" i="21" l="1"/>
  <c r="B3" i="21"/>
  <c r="C3" i="21"/>
  <c r="D3" i="21"/>
  <c r="E3" i="21"/>
  <c r="F3" i="21"/>
  <c r="G3" i="21"/>
  <c r="T1" i="9"/>
  <c r="D6" i="9"/>
  <c r="B34" i="9"/>
  <c r="A17" i="21"/>
  <c r="C6" i="9"/>
  <c r="A24" i="21"/>
  <c r="H6" i="9"/>
  <c r="F6" i="9"/>
  <c r="I6" i="9"/>
  <c r="A15" i="21"/>
  <c r="G6" i="9"/>
  <c r="A22" i="21"/>
  <c r="C33" i="28" l="1"/>
  <c r="F33" i="28"/>
  <c r="G33" i="28"/>
  <c r="H33" i="28"/>
  <c r="E33" i="28"/>
  <c r="B33" i="28"/>
  <c r="E4" i="21"/>
  <c r="H4" i="21"/>
  <c r="G4" i="21"/>
  <c r="F4" i="21"/>
  <c r="D4" i="21"/>
  <c r="C4" i="21"/>
  <c r="B4" i="21"/>
  <c r="F21" i="9"/>
  <c r="F22" i="9"/>
  <c r="I22" i="9"/>
  <c r="I21" i="9"/>
  <c r="H22" i="9"/>
  <c r="H21" i="9"/>
  <c r="G21" i="9"/>
  <c r="G22" i="9"/>
  <c r="E22" i="9"/>
  <c r="E21" i="9"/>
  <c r="D22" i="9"/>
  <c r="D21" i="9"/>
  <c r="C22" i="9"/>
  <c r="C21" i="9"/>
  <c r="B33" i="9"/>
  <c r="B31" i="9"/>
  <c r="B30" i="9"/>
  <c r="B32" i="9"/>
  <c r="B79" i="21" l="1"/>
  <c r="C7" i="21"/>
  <c r="E8" i="21"/>
  <c r="E7" i="21"/>
  <c r="H8" i="21"/>
  <c r="H7" i="21"/>
  <c r="G8" i="21"/>
  <c r="G7" i="21"/>
  <c r="F8" i="21"/>
  <c r="F7" i="21"/>
  <c r="D7" i="21"/>
  <c r="B7" i="21"/>
  <c r="D8" i="21"/>
  <c r="C8" i="21"/>
  <c r="B8" i="21"/>
  <c r="G19" i="21" l="1"/>
  <c r="G21" i="21" s="1"/>
  <c r="G12" i="21"/>
  <c r="G14" i="21" s="1"/>
  <c r="F12" i="21"/>
  <c r="F14" i="21" s="1"/>
  <c r="F19" i="21"/>
  <c r="F21" i="21" s="1"/>
  <c r="E12" i="21"/>
  <c r="E14" i="21" s="1"/>
  <c r="E19" i="21"/>
  <c r="E21" i="21" s="1"/>
  <c r="D12" i="21"/>
  <c r="D14" i="21" s="1"/>
  <c r="D19" i="21"/>
  <c r="D21" i="21" s="1"/>
  <c r="B19" i="21"/>
  <c r="B21" i="21" s="1"/>
  <c r="C19" i="21"/>
  <c r="C21" i="21" s="1"/>
  <c r="C12" i="21"/>
  <c r="C14" i="21" s="1"/>
  <c r="B12" i="21"/>
  <c r="B14" i="21" s="1"/>
  <c r="J1" i="7"/>
  <c r="B19" i="9"/>
  <c r="A7" i="16"/>
  <c r="B23" i="9"/>
  <c r="A28" i="7"/>
  <c r="A12" i="16"/>
  <c r="K24" i="9"/>
  <c r="B21" i="9"/>
  <c r="A11" i="16"/>
  <c r="A10" i="16"/>
  <c r="B16" i="9"/>
  <c r="A17" i="7"/>
  <c r="A37" i="7"/>
  <c r="A34" i="7"/>
  <c r="A13" i="16"/>
  <c r="B20" i="9"/>
  <c r="A16" i="7"/>
  <c r="A3" i="16"/>
  <c r="A6" i="16"/>
  <c r="A2" i="16"/>
  <c r="A14" i="7"/>
  <c r="K17" i="9"/>
  <c r="A5" i="16"/>
  <c r="A9" i="16"/>
  <c r="A4" i="16"/>
  <c r="A7" i="7"/>
  <c r="A33" i="7"/>
  <c r="B18" i="9"/>
  <c r="A8" i="16"/>
  <c r="A1" i="16"/>
  <c r="A14" i="16"/>
  <c r="B1" i="9"/>
  <c r="B3" i="9"/>
  <c r="B22" i="9"/>
  <c r="B47" i="9" l="1"/>
  <c r="B45" i="9"/>
  <c r="B43" i="9"/>
  <c r="B44" i="9"/>
  <c r="B46" i="9"/>
  <c r="A8" i="21"/>
  <c r="A7" i="21"/>
  <c r="B30" i="8"/>
  <c r="B30" i="11"/>
  <c r="B30" i="12"/>
  <c r="B30" i="13"/>
  <c r="B30" i="14"/>
  <c r="B30" i="17"/>
  <c r="B30" i="7"/>
  <c r="A47" i="7"/>
  <c r="A20" i="7"/>
  <c r="A57" i="7"/>
  <c r="A50" i="7"/>
  <c r="A46" i="7"/>
  <c r="A1" i="7"/>
  <c r="A39" i="7"/>
  <c r="A13" i="7"/>
  <c r="A38" i="7"/>
  <c r="A44" i="7"/>
  <c r="A48" i="7"/>
  <c r="A32" i="7"/>
  <c r="A15" i="7"/>
  <c r="A23" i="7"/>
  <c r="A31" i="7"/>
  <c r="A53" i="7"/>
  <c r="A55" i="7"/>
  <c r="A58" i="7"/>
  <c r="A56" i="7"/>
  <c r="A21" i="7"/>
  <c r="A26" i="7"/>
  <c r="A60" i="7"/>
  <c r="A5" i="7"/>
  <c r="A51" i="7"/>
  <c r="A24" i="7"/>
  <c r="A42" i="7"/>
  <c r="A27" i="7"/>
  <c r="A41" i="7"/>
  <c r="A36" i="7"/>
  <c r="A12" i="7"/>
  <c r="A19" i="7"/>
  <c r="A8" i="7"/>
  <c r="A30" i="7"/>
  <c r="A4" i="7"/>
  <c r="A11" i="7"/>
  <c r="A9" i="7"/>
  <c r="A40" i="7"/>
  <c r="A2" i="7"/>
  <c r="A25" i="7"/>
  <c r="A52" i="7"/>
  <c r="A6" i="7"/>
  <c r="A54" i="7"/>
  <c r="A49" i="7"/>
  <c r="A3" i="7"/>
  <c r="A18" i="7"/>
  <c r="A59" i="7"/>
  <c r="B7" i="9"/>
  <c r="A35" i="7"/>
  <c r="A29" i="7"/>
  <c r="A22" i="7"/>
  <c r="A10" i="7"/>
  <c r="A45" i="7"/>
  <c r="A43" i="7"/>
  <c r="B61" i="9" l="1"/>
  <c r="A60" i="12"/>
  <c r="A60" i="8"/>
  <c r="A60" i="13"/>
  <c r="A60" i="14"/>
  <c r="A60" i="11"/>
  <c r="A60" i="17"/>
  <c r="A59" i="12"/>
  <c r="A59" i="11"/>
  <c r="A59" i="8"/>
  <c r="A59" i="13"/>
  <c r="A59" i="14"/>
  <c r="A59" i="17"/>
  <c r="C24" i="9"/>
  <c r="I24" i="9"/>
  <c r="I39" i="9" s="1"/>
  <c r="H24" i="9"/>
  <c r="H39" i="9" s="1"/>
  <c r="G24" i="9"/>
  <c r="G39" i="9" s="1"/>
  <c r="F24" i="9"/>
  <c r="F39" i="9" s="1"/>
  <c r="E24" i="9"/>
  <c r="E39" i="9" s="1"/>
  <c r="D24" i="9"/>
  <c r="D39" i="9" s="1"/>
  <c r="C17" i="9"/>
  <c r="I17" i="9"/>
  <c r="H17" i="9"/>
  <c r="G17" i="9"/>
  <c r="F17" i="9"/>
  <c r="E17" i="9"/>
  <c r="D17" i="9"/>
  <c r="B48" i="11"/>
  <c r="B37" i="11"/>
  <c r="B27" i="11"/>
  <c r="B26" i="11"/>
  <c r="B48" i="12"/>
  <c r="B37" i="12"/>
  <c r="B27" i="12"/>
  <c r="B26" i="12"/>
  <c r="B48" i="13"/>
  <c r="B37" i="13"/>
  <c r="B27" i="13"/>
  <c r="B26" i="13"/>
  <c r="B48" i="14"/>
  <c r="B37" i="14"/>
  <c r="B27" i="14"/>
  <c r="B26" i="14"/>
  <c r="B48" i="17"/>
  <c r="B37" i="17"/>
  <c r="B27" i="17"/>
  <c r="B26" i="17"/>
  <c r="B48" i="8"/>
  <c r="B37" i="8"/>
  <c r="B27" i="8"/>
  <c r="B26" i="8"/>
  <c r="B4" i="11"/>
  <c r="C4" i="11"/>
  <c r="D4" i="11"/>
  <c r="E4" i="11"/>
  <c r="F4" i="11"/>
  <c r="G4" i="11"/>
  <c r="B4" i="12"/>
  <c r="C4" i="12"/>
  <c r="D4" i="12"/>
  <c r="E4" i="12"/>
  <c r="F4" i="12"/>
  <c r="G4" i="12"/>
  <c r="B4" i="13"/>
  <c r="C4" i="13"/>
  <c r="D4" i="13"/>
  <c r="E4" i="13"/>
  <c r="F4" i="13"/>
  <c r="G4" i="13"/>
  <c r="B4" i="14"/>
  <c r="C4" i="14"/>
  <c r="D4" i="14"/>
  <c r="E4" i="14"/>
  <c r="F4" i="14"/>
  <c r="G4" i="14"/>
  <c r="B4" i="17"/>
  <c r="C4" i="17"/>
  <c r="D4" i="17"/>
  <c r="E4" i="17"/>
  <c r="F4" i="17"/>
  <c r="G4" i="17"/>
  <c r="B4" i="8"/>
  <c r="C4" i="8"/>
  <c r="D4" i="8"/>
  <c r="E4" i="8"/>
  <c r="F4" i="8"/>
  <c r="G4" i="8"/>
  <c r="A27" i="11"/>
  <c r="A28" i="11"/>
  <c r="A29" i="11"/>
  <c r="A30" i="11"/>
  <c r="A31" i="11"/>
  <c r="A32" i="11"/>
  <c r="A33" i="11"/>
  <c r="A34" i="11"/>
  <c r="A35" i="11"/>
  <c r="A36" i="11"/>
  <c r="A37" i="11"/>
  <c r="A38" i="11"/>
  <c r="A39" i="11"/>
  <c r="A40" i="11"/>
  <c r="A41" i="11"/>
  <c r="A42" i="11"/>
  <c r="A43" i="11"/>
  <c r="A44" i="11"/>
  <c r="A45" i="11"/>
  <c r="A46" i="11"/>
  <c r="A47" i="11"/>
  <c r="A48" i="11"/>
  <c r="A49" i="11"/>
  <c r="A50" i="11"/>
  <c r="A51" i="11"/>
  <c r="A52" i="11"/>
  <c r="A53" i="11"/>
  <c r="A54" i="11"/>
  <c r="A55" i="11"/>
  <c r="A56" i="11"/>
  <c r="A57" i="11"/>
  <c r="A58" i="11"/>
  <c r="A27" i="12"/>
  <c r="A28" i="12"/>
  <c r="A29" i="12"/>
  <c r="A30" i="12"/>
  <c r="A31" i="12"/>
  <c r="A32" i="12"/>
  <c r="A33" i="12"/>
  <c r="A34" i="12"/>
  <c r="A35" i="12"/>
  <c r="A36" i="12"/>
  <c r="A37" i="12"/>
  <c r="A38" i="12"/>
  <c r="A39" i="12"/>
  <c r="A40" i="12"/>
  <c r="A41" i="12"/>
  <c r="A42" i="12"/>
  <c r="A43" i="12"/>
  <c r="A44" i="12"/>
  <c r="A45" i="12"/>
  <c r="A46" i="12"/>
  <c r="A47" i="12"/>
  <c r="A48" i="12"/>
  <c r="A49" i="12"/>
  <c r="A50" i="12"/>
  <c r="A51" i="12"/>
  <c r="A52" i="12"/>
  <c r="A53" i="12"/>
  <c r="A54" i="12"/>
  <c r="A55" i="12"/>
  <c r="A56" i="12"/>
  <c r="A57" i="12"/>
  <c r="A58" i="12"/>
  <c r="A27" i="13"/>
  <c r="A28" i="13"/>
  <c r="A29" i="13"/>
  <c r="A30" i="13"/>
  <c r="A31" i="13"/>
  <c r="A32" i="13"/>
  <c r="A33" i="13"/>
  <c r="A34" i="13"/>
  <c r="A35" i="13"/>
  <c r="A36" i="13"/>
  <c r="A37" i="13"/>
  <c r="A38" i="13"/>
  <c r="A39" i="13"/>
  <c r="A40" i="13"/>
  <c r="A41" i="13"/>
  <c r="A42" i="13"/>
  <c r="A43" i="13"/>
  <c r="A44" i="13"/>
  <c r="A45" i="13"/>
  <c r="A46" i="13"/>
  <c r="A47" i="13"/>
  <c r="A48" i="13"/>
  <c r="A49" i="13"/>
  <c r="A50" i="13"/>
  <c r="A51" i="13"/>
  <c r="A52" i="13"/>
  <c r="A53" i="13"/>
  <c r="A54" i="13"/>
  <c r="A55" i="13"/>
  <c r="A56" i="13"/>
  <c r="A57" i="13"/>
  <c r="A58" i="13"/>
  <c r="A27" i="14"/>
  <c r="A28" i="14"/>
  <c r="A29" i="14"/>
  <c r="A30" i="14"/>
  <c r="A31" i="14"/>
  <c r="A32" i="14"/>
  <c r="A33" i="14"/>
  <c r="A34" i="14"/>
  <c r="A35" i="14"/>
  <c r="A36" i="14"/>
  <c r="A37" i="14"/>
  <c r="A38" i="14"/>
  <c r="A39" i="14"/>
  <c r="A40" i="14"/>
  <c r="A41" i="14"/>
  <c r="A42" i="14"/>
  <c r="A43" i="14"/>
  <c r="A44" i="14"/>
  <c r="A45" i="14"/>
  <c r="A46" i="14"/>
  <c r="A47" i="14"/>
  <c r="A48" i="14"/>
  <c r="A49" i="14"/>
  <c r="A50" i="14"/>
  <c r="A51" i="14"/>
  <c r="A52" i="14"/>
  <c r="A53" i="14"/>
  <c r="A54" i="14"/>
  <c r="A55" i="14"/>
  <c r="A56" i="14"/>
  <c r="A57" i="14"/>
  <c r="A58" i="14"/>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27" i="8"/>
  <c r="A28" i="8"/>
  <c r="A29" i="8"/>
  <c r="A30" i="8"/>
  <c r="A31" i="8"/>
  <c r="A32" i="8"/>
  <c r="A33" i="8"/>
  <c r="A34" i="8"/>
  <c r="A35" i="8"/>
  <c r="A36" i="8"/>
  <c r="A37" i="8"/>
  <c r="A38" i="8"/>
  <c r="A39" i="8"/>
  <c r="A40" i="8"/>
  <c r="A41" i="8"/>
  <c r="A42" i="8"/>
  <c r="A43" i="8"/>
  <c r="A44" i="8"/>
  <c r="A45" i="8"/>
  <c r="A46" i="8"/>
  <c r="A47" i="8"/>
  <c r="A48" i="8"/>
  <c r="A49" i="8"/>
  <c r="A50" i="8"/>
  <c r="A51" i="8"/>
  <c r="A52" i="8"/>
  <c r="A53" i="8"/>
  <c r="A54" i="8"/>
  <c r="A55" i="8"/>
  <c r="A56" i="8"/>
  <c r="A57" i="8"/>
  <c r="A58" i="8"/>
  <c r="A2" i="11"/>
  <c r="A5" i="11"/>
  <c r="A6" i="11"/>
  <c r="A7" i="11"/>
  <c r="A8" i="11"/>
  <c r="A9" i="11"/>
  <c r="A10" i="11"/>
  <c r="A11" i="11"/>
  <c r="A12" i="11"/>
  <c r="A13" i="11"/>
  <c r="A14" i="11"/>
  <c r="A15" i="11"/>
  <c r="A16" i="11"/>
  <c r="A17" i="11"/>
  <c r="A18" i="11"/>
  <c r="A19" i="11"/>
  <c r="A20" i="11"/>
  <c r="A21" i="11"/>
  <c r="A22" i="11"/>
  <c r="A23" i="11"/>
  <c r="A24" i="11"/>
  <c r="A26" i="11"/>
  <c r="A2" i="12"/>
  <c r="A5" i="12"/>
  <c r="A6" i="12"/>
  <c r="A7" i="12"/>
  <c r="A8" i="12"/>
  <c r="A9" i="12"/>
  <c r="A10" i="12"/>
  <c r="A11" i="12"/>
  <c r="A12" i="12"/>
  <c r="A13" i="12"/>
  <c r="A14" i="12"/>
  <c r="A15" i="12"/>
  <c r="A16" i="12"/>
  <c r="A17" i="12"/>
  <c r="A18" i="12"/>
  <c r="A19" i="12"/>
  <c r="A20" i="12"/>
  <c r="A21" i="12"/>
  <c r="A22" i="12"/>
  <c r="A23" i="12"/>
  <c r="A24" i="12"/>
  <c r="A26" i="12"/>
  <c r="A2" i="13"/>
  <c r="A5" i="13"/>
  <c r="A6" i="13"/>
  <c r="A7" i="13"/>
  <c r="A8" i="13"/>
  <c r="A9" i="13"/>
  <c r="A10" i="13"/>
  <c r="A11" i="13"/>
  <c r="A12" i="13"/>
  <c r="A13" i="13"/>
  <c r="A14" i="13"/>
  <c r="A15" i="13"/>
  <c r="A16" i="13"/>
  <c r="A17" i="13"/>
  <c r="A18" i="13"/>
  <c r="A19" i="13"/>
  <c r="A20" i="13"/>
  <c r="A21" i="13"/>
  <c r="A22" i="13"/>
  <c r="A23" i="13"/>
  <c r="A24" i="13"/>
  <c r="A26" i="13"/>
  <c r="A2" i="14"/>
  <c r="A5" i="14"/>
  <c r="A6" i="14"/>
  <c r="A7" i="14"/>
  <c r="A8" i="14"/>
  <c r="A9" i="14"/>
  <c r="A10" i="14"/>
  <c r="A11" i="14"/>
  <c r="A12" i="14"/>
  <c r="A13" i="14"/>
  <c r="A14" i="14"/>
  <c r="A15" i="14"/>
  <c r="A16" i="14"/>
  <c r="A17" i="14"/>
  <c r="A18" i="14"/>
  <c r="A19" i="14"/>
  <c r="A20" i="14"/>
  <c r="A21" i="14"/>
  <c r="A22" i="14"/>
  <c r="A23" i="14"/>
  <c r="A24" i="14"/>
  <c r="A26" i="14"/>
  <c r="A2" i="17"/>
  <c r="A5" i="17"/>
  <c r="A6" i="17"/>
  <c r="A7" i="17"/>
  <c r="A8" i="17"/>
  <c r="A9" i="17"/>
  <c r="A10" i="17"/>
  <c r="A11" i="17"/>
  <c r="A12" i="17"/>
  <c r="A13" i="17"/>
  <c r="A14" i="17"/>
  <c r="A15" i="17"/>
  <c r="A16" i="17"/>
  <c r="A17" i="17"/>
  <c r="A18" i="17"/>
  <c r="A19" i="17"/>
  <c r="A20" i="17"/>
  <c r="A21" i="17"/>
  <c r="A22" i="17"/>
  <c r="A23" i="17"/>
  <c r="A24" i="17"/>
  <c r="A26" i="17"/>
  <c r="A2" i="8"/>
  <c r="A5" i="8"/>
  <c r="A6" i="8"/>
  <c r="A7" i="8"/>
  <c r="A8" i="8"/>
  <c r="A9" i="8"/>
  <c r="A10" i="8"/>
  <c r="A11" i="8"/>
  <c r="A12" i="8"/>
  <c r="A13" i="8"/>
  <c r="A14" i="8"/>
  <c r="A15" i="8"/>
  <c r="A16" i="8"/>
  <c r="A17" i="8"/>
  <c r="A18" i="8"/>
  <c r="A19" i="8"/>
  <c r="A20" i="8"/>
  <c r="A21" i="8"/>
  <c r="A22" i="8"/>
  <c r="A23" i="8"/>
  <c r="A24" i="8"/>
  <c r="A26" i="8"/>
  <c r="A1" i="11"/>
  <c r="A1" i="12"/>
  <c r="A1" i="13"/>
  <c r="A1" i="14"/>
  <c r="A1" i="17"/>
  <c r="A1" i="8"/>
  <c r="B6" i="9"/>
  <c r="B27" i="9"/>
  <c r="B26" i="9"/>
  <c r="B28" i="9"/>
  <c r="B14" i="9"/>
  <c r="B29" i="9"/>
  <c r="B5" i="9"/>
  <c r="G7" i="9"/>
  <c r="B9" i="9"/>
  <c r="B13" i="9"/>
  <c r="H7" i="9"/>
  <c r="F7" i="9"/>
  <c r="I7" i="9"/>
  <c r="B15" i="9"/>
  <c r="E7" i="9"/>
  <c r="B11" i="9"/>
  <c r="B8" i="9"/>
  <c r="B12" i="9"/>
  <c r="B10" i="9"/>
  <c r="D7" i="9"/>
  <c r="B25" i="9"/>
  <c r="B2" i="9"/>
  <c r="C39" i="9" l="1"/>
  <c r="I18" i="9"/>
  <c r="H18" i="9"/>
  <c r="F59" i="9"/>
  <c r="G59" i="9"/>
  <c r="I59" i="9"/>
  <c r="H59" i="9"/>
  <c r="D59" i="9"/>
  <c r="E59" i="9"/>
  <c r="B60" i="9"/>
  <c r="B52" i="9"/>
  <c r="B54" i="9"/>
  <c r="B53" i="9"/>
  <c r="B55" i="9"/>
  <c r="B56" i="9"/>
  <c r="G18" i="9"/>
  <c r="A6" i="21"/>
  <c r="B17" i="9"/>
  <c r="B42" i="9" s="1"/>
  <c r="B24" i="9"/>
  <c r="B51" i="9" s="1"/>
  <c r="A4" i="21"/>
  <c r="A3" i="21"/>
  <c r="A5" i="21"/>
  <c r="F18" i="9"/>
  <c r="D18" i="9"/>
  <c r="E18" i="9"/>
  <c r="B42" i="8"/>
  <c r="B42" i="13"/>
  <c r="B42" i="11"/>
  <c r="B42" i="17"/>
  <c r="B42" i="12"/>
  <c r="B42" i="14"/>
  <c r="E15" i="9"/>
  <c r="D15" i="9"/>
  <c r="I15" i="9"/>
  <c r="H15" i="9"/>
  <c r="G15" i="9"/>
  <c r="F15" i="9"/>
  <c r="H60" i="9" l="1"/>
  <c r="H61" i="9"/>
  <c r="I60" i="9"/>
  <c r="I61" i="9"/>
  <c r="E60" i="9"/>
  <c r="E61" i="9"/>
  <c r="G60" i="9"/>
  <c r="G61" i="9"/>
  <c r="D60" i="9"/>
  <c r="D61" i="9"/>
  <c r="F60" i="9"/>
  <c r="F61" i="9"/>
  <c r="B37" i="7"/>
  <c r="B42" i="7" s="1"/>
  <c r="I5" i="7"/>
  <c r="J5" i="7" s="1"/>
  <c r="I6" i="7"/>
  <c r="J6" i="7" s="1"/>
  <c r="I7" i="7"/>
  <c r="J7" i="7" s="1"/>
  <c r="I8" i="7"/>
  <c r="J8" i="7" s="1"/>
  <c r="B26" i="7"/>
  <c r="B27" i="7"/>
  <c r="I5" i="8"/>
  <c r="I6" i="8"/>
  <c r="K6" i="8" s="1"/>
  <c r="I7" i="8"/>
  <c r="J7" i="8" s="1"/>
  <c r="I8" i="8"/>
  <c r="J8" i="8" s="1"/>
  <c r="I9" i="8"/>
  <c r="J9" i="8" s="1"/>
  <c r="I10" i="8"/>
  <c r="K10" i="8" s="1"/>
  <c r="I11" i="8"/>
  <c r="J11" i="8" s="1"/>
  <c r="I12" i="8"/>
  <c r="J12" i="8" s="1"/>
  <c r="I13" i="8"/>
  <c r="J13" i="8" s="1"/>
  <c r="I14" i="8"/>
  <c r="K14" i="8" s="1"/>
  <c r="I15" i="8"/>
  <c r="J15" i="8" s="1"/>
  <c r="I16" i="8"/>
  <c r="J16" i="8" s="1"/>
  <c r="I17" i="8"/>
  <c r="J17" i="8" s="1"/>
  <c r="I18" i="8"/>
  <c r="K18" i="8" s="1"/>
  <c r="I19" i="8"/>
  <c r="J19" i="8" s="1"/>
  <c r="I20" i="8"/>
  <c r="J20" i="8" s="1"/>
  <c r="I21" i="8"/>
  <c r="J21" i="8" s="1"/>
  <c r="I22" i="8"/>
  <c r="K22" i="8" s="1"/>
  <c r="I23" i="8"/>
  <c r="J23" i="8" s="1"/>
  <c r="I24" i="8"/>
  <c r="J24" i="8" s="1"/>
  <c r="I5" i="11"/>
  <c r="I6" i="11"/>
  <c r="J6" i="11" s="1"/>
  <c r="I7" i="11"/>
  <c r="K7" i="11" s="1"/>
  <c r="I8" i="11"/>
  <c r="J8" i="11" s="1"/>
  <c r="I9" i="11"/>
  <c r="J9" i="11" s="1"/>
  <c r="I10" i="11"/>
  <c r="J10" i="11" s="1"/>
  <c r="I11" i="11"/>
  <c r="K11" i="11" s="1"/>
  <c r="I12" i="11"/>
  <c r="J12" i="11" s="1"/>
  <c r="I13" i="11"/>
  <c r="J13" i="11" s="1"/>
  <c r="I14" i="11"/>
  <c r="J14" i="11" s="1"/>
  <c r="I15" i="11"/>
  <c r="K15" i="11" s="1"/>
  <c r="I16" i="11"/>
  <c r="J16" i="11" s="1"/>
  <c r="I17" i="11"/>
  <c r="J17" i="11" s="1"/>
  <c r="I18" i="11"/>
  <c r="J18" i="11" s="1"/>
  <c r="I19" i="11"/>
  <c r="K19" i="11" s="1"/>
  <c r="I20" i="11"/>
  <c r="J20" i="11" s="1"/>
  <c r="I21" i="11"/>
  <c r="J21" i="11" s="1"/>
  <c r="I22" i="11"/>
  <c r="J22" i="11" s="1"/>
  <c r="I23" i="11"/>
  <c r="K23" i="11" s="1"/>
  <c r="I24" i="11"/>
  <c r="J24" i="11" s="1"/>
  <c r="I5" i="12"/>
  <c r="K5" i="12" s="1"/>
  <c r="I6" i="12"/>
  <c r="J6" i="12" s="1"/>
  <c r="I7" i="12"/>
  <c r="J7" i="12" s="1"/>
  <c r="I8" i="12"/>
  <c r="K8" i="12" s="1"/>
  <c r="I9" i="12"/>
  <c r="J9" i="12" s="1"/>
  <c r="I10" i="12"/>
  <c r="J10" i="12" s="1"/>
  <c r="I11" i="12"/>
  <c r="J11" i="12" s="1"/>
  <c r="I12" i="12"/>
  <c r="K12" i="12" s="1"/>
  <c r="I13" i="12"/>
  <c r="J13" i="12" s="1"/>
  <c r="I14" i="12"/>
  <c r="J14" i="12" s="1"/>
  <c r="I15" i="12"/>
  <c r="J15" i="12" s="1"/>
  <c r="I16" i="12"/>
  <c r="K16" i="12" s="1"/>
  <c r="I17" i="12"/>
  <c r="J17" i="12" s="1"/>
  <c r="I18" i="12"/>
  <c r="J18" i="12" s="1"/>
  <c r="I19" i="12"/>
  <c r="J19" i="12" s="1"/>
  <c r="I20" i="12"/>
  <c r="K20" i="12" s="1"/>
  <c r="I21" i="12"/>
  <c r="J21" i="12" s="1"/>
  <c r="I22" i="12"/>
  <c r="J22" i="12" s="1"/>
  <c r="I23" i="12"/>
  <c r="J23" i="12" s="1"/>
  <c r="I24" i="12"/>
  <c r="K24" i="12" s="1"/>
  <c r="I5" i="13"/>
  <c r="I6" i="13"/>
  <c r="J6" i="13" s="1"/>
  <c r="I7" i="13"/>
  <c r="J7" i="13" s="1"/>
  <c r="I8" i="13"/>
  <c r="J8" i="13" s="1"/>
  <c r="I9" i="13"/>
  <c r="K9" i="13" s="1"/>
  <c r="I10" i="13"/>
  <c r="J10" i="13" s="1"/>
  <c r="I11" i="13"/>
  <c r="J11" i="13" s="1"/>
  <c r="I12" i="13"/>
  <c r="J12" i="13" s="1"/>
  <c r="I13" i="13"/>
  <c r="K13" i="13" s="1"/>
  <c r="I14" i="13"/>
  <c r="J14" i="13" s="1"/>
  <c r="I15" i="13"/>
  <c r="J15" i="13" s="1"/>
  <c r="I16" i="13"/>
  <c r="J16" i="13" s="1"/>
  <c r="I17" i="13"/>
  <c r="K17" i="13" s="1"/>
  <c r="I18" i="13"/>
  <c r="J18" i="13" s="1"/>
  <c r="I19" i="13"/>
  <c r="J19" i="13" s="1"/>
  <c r="I20" i="13"/>
  <c r="J20" i="13" s="1"/>
  <c r="I21" i="13"/>
  <c r="K21" i="13" s="1"/>
  <c r="I22" i="13"/>
  <c r="J22" i="13" s="1"/>
  <c r="I23" i="13"/>
  <c r="J23" i="13" s="1"/>
  <c r="I24" i="13"/>
  <c r="J24" i="13" s="1"/>
  <c r="I5" i="14"/>
  <c r="K5" i="14" s="1"/>
  <c r="I6" i="14"/>
  <c r="K6" i="14" s="1"/>
  <c r="I7" i="14"/>
  <c r="J7" i="14" s="1"/>
  <c r="I8" i="14"/>
  <c r="J8" i="14" s="1"/>
  <c r="I9" i="14"/>
  <c r="J9" i="14" s="1"/>
  <c r="I10" i="14"/>
  <c r="K10" i="14" s="1"/>
  <c r="I11" i="14"/>
  <c r="J11" i="14" s="1"/>
  <c r="I12" i="14"/>
  <c r="J12" i="14" s="1"/>
  <c r="I13" i="14"/>
  <c r="J13" i="14" s="1"/>
  <c r="I14" i="14"/>
  <c r="K14" i="14" s="1"/>
  <c r="I15" i="14"/>
  <c r="J15" i="14" s="1"/>
  <c r="I16" i="14"/>
  <c r="J16" i="14" s="1"/>
  <c r="I17" i="14"/>
  <c r="J17" i="14" s="1"/>
  <c r="I18" i="14"/>
  <c r="K18" i="14" s="1"/>
  <c r="I19" i="14"/>
  <c r="J19" i="14" s="1"/>
  <c r="I20" i="14"/>
  <c r="J20" i="14" s="1"/>
  <c r="I21" i="14"/>
  <c r="J21" i="14" s="1"/>
  <c r="I22" i="14"/>
  <c r="K22" i="14" s="1"/>
  <c r="I23" i="14"/>
  <c r="J23" i="14" s="1"/>
  <c r="I24" i="14"/>
  <c r="J24" i="14" s="1"/>
  <c r="I5" i="17"/>
  <c r="I6" i="17"/>
  <c r="J6" i="17" s="1"/>
  <c r="I7" i="17"/>
  <c r="K7" i="17" s="1"/>
  <c r="I8" i="17"/>
  <c r="J8" i="17" s="1"/>
  <c r="I9" i="17"/>
  <c r="J9" i="17" s="1"/>
  <c r="I10" i="17"/>
  <c r="J10" i="17" s="1"/>
  <c r="I11" i="17"/>
  <c r="K11" i="17" s="1"/>
  <c r="I12" i="17"/>
  <c r="J12" i="17" s="1"/>
  <c r="I13" i="17"/>
  <c r="J13" i="17" s="1"/>
  <c r="I14" i="17"/>
  <c r="J14" i="17" s="1"/>
  <c r="I15" i="17"/>
  <c r="K15" i="17" s="1"/>
  <c r="I16" i="17"/>
  <c r="J16" i="17" s="1"/>
  <c r="I17" i="17"/>
  <c r="J17" i="17" s="1"/>
  <c r="I18" i="17"/>
  <c r="J18" i="17" s="1"/>
  <c r="I19" i="17"/>
  <c r="K19" i="17" s="1"/>
  <c r="I20" i="17"/>
  <c r="J20" i="17" s="1"/>
  <c r="I21" i="17"/>
  <c r="J21" i="17" s="1"/>
  <c r="I22" i="17"/>
  <c r="J22" i="17" s="1"/>
  <c r="I23" i="17"/>
  <c r="K23" i="17" s="1"/>
  <c r="I24" i="17"/>
  <c r="J24" i="17" s="1"/>
  <c r="I9" i="7"/>
  <c r="J9" i="7" s="1"/>
  <c r="I10" i="7"/>
  <c r="J10" i="7" s="1"/>
  <c r="I11" i="7"/>
  <c r="J11" i="7" s="1"/>
  <c r="I12" i="7"/>
  <c r="J12" i="7" s="1"/>
  <c r="I13" i="7"/>
  <c r="K13" i="7" s="1"/>
  <c r="I14" i="7"/>
  <c r="J14" i="7" s="1"/>
  <c r="I15" i="7"/>
  <c r="K15" i="7" s="1"/>
  <c r="I16" i="7"/>
  <c r="J16" i="7" s="1"/>
  <c r="I17" i="7"/>
  <c r="J17" i="7" s="1"/>
  <c r="I18" i="7"/>
  <c r="J18" i="7" s="1"/>
  <c r="I19" i="7"/>
  <c r="J19" i="7" s="1"/>
  <c r="I20" i="7"/>
  <c r="J20" i="7" s="1"/>
  <c r="I21" i="7"/>
  <c r="K21" i="7" s="1"/>
  <c r="I22" i="7"/>
  <c r="J22" i="7" s="1"/>
  <c r="I23" i="7"/>
  <c r="J23" i="7" s="1"/>
  <c r="I24" i="7"/>
  <c r="J24" i="7" s="1"/>
  <c r="B48" i="7"/>
  <c r="K12" i="11"/>
  <c r="K20" i="11"/>
  <c r="K23" i="12"/>
  <c r="K12" i="13"/>
  <c r="K20" i="13"/>
  <c r="K21" i="14"/>
  <c r="K16" i="17"/>
  <c r="C15" i="9"/>
  <c r="C7" i="9"/>
  <c r="K6" i="13" l="1"/>
  <c r="K17" i="8"/>
  <c r="C59" i="9"/>
  <c r="B90" i="24"/>
  <c r="A90" i="24"/>
  <c r="C49" i="28" s="1"/>
  <c r="K22" i="13"/>
  <c r="K18" i="11"/>
  <c r="K18" i="17"/>
  <c r="K17" i="12"/>
  <c r="K13" i="12"/>
  <c r="K21" i="8"/>
  <c r="K9" i="12"/>
  <c r="K6" i="7"/>
  <c r="K20" i="17"/>
  <c r="K12" i="17"/>
  <c r="J21" i="7"/>
  <c r="K10" i="17"/>
  <c r="K24" i="11"/>
  <c r="K8" i="17"/>
  <c r="K13" i="14"/>
  <c r="K9" i="14"/>
  <c r="K24" i="13"/>
  <c r="K16" i="11"/>
  <c r="K21" i="12"/>
  <c r="K8" i="11"/>
  <c r="K13" i="8"/>
  <c r="K16" i="13"/>
  <c r="K14" i="13"/>
  <c r="K24" i="17"/>
  <c r="K8" i="13"/>
  <c r="K22" i="17"/>
  <c r="K14" i="17"/>
  <c r="K6" i="17"/>
  <c r="K17" i="14"/>
  <c r="K18" i="13"/>
  <c r="K10" i="13"/>
  <c r="K7" i="12"/>
  <c r="K15" i="12"/>
  <c r="K22" i="11"/>
  <c r="K14" i="11"/>
  <c r="K11" i="8"/>
  <c r="K19" i="8"/>
  <c r="K9" i="8"/>
  <c r="K17" i="7"/>
  <c r="J15" i="7"/>
  <c r="J13" i="7"/>
  <c r="K23" i="7"/>
  <c r="K11" i="7"/>
  <c r="K19" i="7"/>
  <c r="K9" i="7"/>
  <c r="K10" i="11"/>
  <c r="K8" i="7"/>
  <c r="K5" i="7"/>
  <c r="K7" i="7"/>
  <c r="B28" i="7"/>
  <c r="C18" i="9"/>
  <c r="K22" i="7"/>
  <c r="K18" i="7"/>
  <c r="K14" i="7"/>
  <c r="K10" i="7"/>
  <c r="K23" i="14"/>
  <c r="K15" i="14"/>
  <c r="K7" i="14"/>
  <c r="K19" i="12"/>
  <c r="K11" i="12"/>
  <c r="K23" i="8"/>
  <c r="K15" i="8"/>
  <c r="K7" i="8"/>
  <c r="J5" i="17"/>
  <c r="B28" i="17"/>
  <c r="J5" i="14"/>
  <c r="B28" i="14"/>
  <c r="K5" i="13"/>
  <c r="B28" i="13"/>
  <c r="J5" i="12"/>
  <c r="B28" i="12"/>
  <c r="J5" i="11"/>
  <c r="B28" i="11"/>
  <c r="J5" i="8"/>
  <c r="B28" i="8"/>
  <c r="K19" i="14"/>
  <c r="K11" i="14"/>
  <c r="K24" i="7"/>
  <c r="K20" i="7"/>
  <c r="K16" i="7"/>
  <c r="K12" i="7"/>
  <c r="K5" i="11"/>
  <c r="K6" i="11"/>
  <c r="K5" i="8"/>
  <c r="K5" i="17"/>
  <c r="K21" i="17"/>
  <c r="K17" i="17"/>
  <c r="K13" i="17"/>
  <c r="K9" i="17"/>
  <c r="K24" i="14"/>
  <c r="K20" i="14"/>
  <c r="K16" i="14"/>
  <c r="K12" i="14"/>
  <c r="K8" i="14"/>
  <c r="K23" i="13"/>
  <c r="K19" i="13"/>
  <c r="K15" i="13"/>
  <c r="K11" i="13"/>
  <c r="K7" i="13"/>
  <c r="K22" i="12"/>
  <c r="K18" i="12"/>
  <c r="K14" i="12"/>
  <c r="K10" i="12"/>
  <c r="K6" i="12"/>
  <c r="K21" i="11"/>
  <c r="K17" i="11"/>
  <c r="K13" i="11"/>
  <c r="K9" i="11"/>
  <c r="K24" i="8"/>
  <c r="K20" i="8"/>
  <c r="K16" i="8"/>
  <c r="K12" i="8"/>
  <c r="K8" i="8"/>
  <c r="J23" i="17"/>
  <c r="J19" i="17"/>
  <c r="J15" i="17"/>
  <c r="J11" i="17"/>
  <c r="J7" i="17"/>
  <c r="J22" i="14"/>
  <c r="J18" i="14"/>
  <c r="J14" i="14"/>
  <c r="J10" i="14"/>
  <c r="J6" i="14"/>
  <c r="J21" i="13"/>
  <c r="J17" i="13"/>
  <c r="J13" i="13"/>
  <c r="J9" i="13"/>
  <c r="J5" i="13"/>
  <c r="J24" i="12"/>
  <c r="J20" i="12"/>
  <c r="J16" i="12"/>
  <c r="J12" i="12"/>
  <c r="J8" i="12"/>
  <c r="J23" i="11"/>
  <c r="J19" i="11"/>
  <c r="J15" i="11"/>
  <c r="J11" i="11"/>
  <c r="J7" i="11"/>
  <c r="J22" i="8"/>
  <c r="J18" i="8"/>
  <c r="J14" i="8"/>
  <c r="J10" i="8"/>
  <c r="J6" i="8"/>
  <c r="C60" i="9" l="1"/>
  <c r="C61" i="9"/>
  <c r="D96" i="24"/>
  <c r="E49" i="28"/>
  <c r="D98" i="24"/>
  <c r="D94" i="24"/>
  <c r="B29" i="7"/>
  <c r="B33" i="7" s="1"/>
  <c r="B38" i="7" s="1"/>
  <c r="B29" i="13"/>
  <c r="B29" i="11"/>
  <c r="B29" i="17"/>
  <c r="B29" i="8"/>
  <c r="B29" i="12"/>
  <c r="B29" i="14"/>
  <c r="C8" i="9"/>
  <c r="B31" i="7" l="1"/>
  <c r="B32" i="7" s="1"/>
  <c r="B34" i="7" s="1"/>
  <c r="B35" i="7" s="1"/>
  <c r="B40" i="7" s="1"/>
  <c r="B31" i="17"/>
  <c r="B33" i="17"/>
  <c r="B31" i="14"/>
  <c r="B33" i="14"/>
  <c r="B31" i="11"/>
  <c r="B33" i="11"/>
  <c r="B38" i="11" s="1"/>
  <c r="B31" i="12"/>
  <c r="B33" i="12"/>
  <c r="B31" i="8"/>
  <c r="B33" i="8"/>
  <c r="B31" i="13"/>
  <c r="B33" i="13"/>
  <c r="E8" i="9"/>
  <c r="C9" i="9"/>
  <c r="B44" i="7" l="1"/>
  <c r="B47" i="7" s="1"/>
  <c r="B50" i="7" s="1"/>
  <c r="B39" i="7"/>
  <c r="B32" i="13"/>
  <c r="B34" i="13" s="1"/>
  <c r="B44" i="13" s="1"/>
  <c r="B32" i="17"/>
  <c r="B34" i="17" s="1"/>
  <c r="B44" i="17" s="1"/>
  <c r="B32" i="11"/>
  <c r="B34" i="11" s="1"/>
  <c r="B35" i="11" s="1"/>
  <c r="B40" i="11" s="1"/>
  <c r="B32" i="8"/>
  <c r="B34" i="8" s="1"/>
  <c r="B44" i="8" s="1"/>
  <c r="B32" i="12"/>
  <c r="B34" i="12" s="1"/>
  <c r="B35" i="12" s="1"/>
  <c r="B40" i="12" s="1"/>
  <c r="B32" i="14"/>
  <c r="B34" i="14" s="1"/>
  <c r="B35" i="14" s="1"/>
  <c r="B40" i="14" s="1"/>
  <c r="B38" i="13"/>
  <c r="B38" i="12"/>
  <c r="B38" i="14"/>
  <c r="B38" i="8"/>
  <c r="B38" i="17"/>
  <c r="D8" i="9"/>
  <c r="E9" i="9"/>
  <c r="F8" i="9"/>
  <c r="F9" i="9"/>
  <c r="I8" i="9"/>
  <c r="H8" i="9"/>
  <c r="G8" i="9"/>
  <c r="C10" i="9"/>
  <c r="H9" i="9"/>
  <c r="B35" i="17" l="1"/>
  <c r="B40" i="17" s="1"/>
  <c r="B45" i="7"/>
  <c r="B46" i="7" s="1"/>
  <c r="B52" i="7" s="1"/>
  <c r="B56" i="7" s="1"/>
  <c r="B35" i="13"/>
  <c r="B40" i="13" s="1"/>
  <c r="B39" i="13"/>
  <c r="B49" i="7"/>
  <c r="B51" i="7" s="1"/>
  <c r="B35" i="8"/>
  <c r="B40" i="8" s="1"/>
  <c r="B39" i="17"/>
  <c r="B44" i="11"/>
  <c r="B45" i="11" s="1"/>
  <c r="B46" i="11" s="1"/>
  <c r="B52" i="11" s="1"/>
  <c r="B39" i="11"/>
  <c r="B39" i="8"/>
  <c r="B44" i="12"/>
  <c r="B39" i="12"/>
  <c r="B47" i="17"/>
  <c r="B45" i="17"/>
  <c r="B46" i="17" s="1"/>
  <c r="B47" i="8"/>
  <c r="B45" i="8"/>
  <c r="B46" i="8" s="1"/>
  <c r="B39" i="14"/>
  <c r="B44" i="14"/>
  <c r="B45" i="13"/>
  <c r="B46" i="13" s="1"/>
  <c r="B52" i="13" s="1"/>
  <c r="B47" i="13"/>
  <c r="I10" i="9"/>
  <c r="G12" i="9"/>
  <c r="I9" i="9"/>
  <c r="D10" i="9"/>
  <c r="D9" i="9"/>
  <c r="E12" i="9"/>
  <c r="G10" i="9"/>
  <c r="C25" i="9"/>
  <c r="C12" i="9"/>
  <c r="C11" i="9"/>
  <c r="G9" i="9"/>
  <c r="B52" i="17" l="1"/>
  <c r="B56" i="17" s="1"/>
  <c r="B52" i="8"/>
  <c r="B56" i="8" s="1"/>
  <c r="B47" i="11"/>
  <c r="B49" i="11" s="1"/>
  <c r="B56" i="13"/>
  <c r="B49" i="17"/>
  <c r="B50" i="17"/>
  <c r="B50" i="13"/>
  <c r="B49" i="13"/>
  <c r="B45" i="14"/>
  <c r="B46" i="14" s="1"/>
  <c r="B52" i="14" s="1"/>
  <c r="B47" i="14"/>
  <c r="B56" i="11"/>
  <c r="B49" i="8"/>
  <c r="B50" i="8"/>
  <c r="B47" i="12"/>
  <c r="B45" i="12"/>
  <c r="B46" i="12" s="1"/>
  <c r="B52" i="12" s="1"/>
  <c r="B57" i="7"/>
  <c r="B53" i="7"/>
  <c r="B54" i="7"/>
  <c r="C26" i="9"/>
  <c r="I25" i="9"/>
  <c r="E25" i="9"/>
  <c r="H10" i="9"/>
  <c r="F10" i="9"/>
  <c r="C13" i="9"/>
  <c r="C14" i="9"/>
  <c r="E10" i="9"/>
  <c r="G25" i="9"/>
  <c r="H12" i="9"/>
  <c r="D25" i="9"/>
  <c r="F12" i="9"/>
  <c r="D12" i="9"/>
  <c r="I12" i="9"/>
  <c r="B50" i="11" l="1"/>
  <c r="B51" i="11" s="1"/>
  <c r="B53" i="11" s="1"/>
  <c r="B51" i="17"/>
  <c r="B54" i="17" s="1"/>
  <c r="B57" i="17"/>
  <c r="B56" i="12"/>
  <c r="B57" i="11"/>
  <c r="B50" i="14"/>
  <c r="B49" i="14"/>
  <c r="B51" i="8"/>
  <c r="B49" i="12"/>
  <c r="B50" i="12"/>
  <c r="B57" i="8"/>
  <c r="B56" i="14"/>
  <c r="B51" i="13"/>
  <c r="B57" i="13"/>
  <c r="B5" i="21"/>
  <c r="B6" i="21"/>
  <c r="C19" i="9"/>
  <c r="B25" i="21" s="1"/>
  <c r="C20" i="9"/>
  <c r="B26" i="21" s="1"/>
  <c r="B58" i="7"/>
  <c r="E26" i="9"/>
  <c r="H25" i="9"/>
  <c r="I26" i="9"/>
  <c r="D26" i="9"/>
  <c r="F25" i="9"/>
  <c r="I14" i="9"/>
  <c r="G11" i="9"/>
  <c r="G26" i="9"/>
  <c r="C27" i="9"/>
  <c r="E13" i="9"/>
  <c r="I11" i="9"/>
  <c r="E11" i="9"/>
  <c r="D11" i="9"/>
  <c r="B28" i="21" l="1"/>
  <c r="B27" i="21"/>
  <c r="B36" i="28"/>
  <c r="B35" i="28"/>
  <c r="I20" i="9"/>
  <c r="H26" i="21" s="1"/>
  <c r="C41" i="9"/>
  <c r="B54" i="11"/>
  <c r="B53" i="17"/>
  <c r="C38" i="9"/>
  <c r="D5" i="21"/>
  <c r="E19" i="9"/>
  <c r="H6" i="21"/>
  <c r="B59" i="7"/>
  <c r="B60" i="7"/>
  <c r="B58" i="13"/>
  <c r="B57" i="14"/>
  <c r="B53" i="8"/>
  <c r="B54" i="8"/>
  <c r="B57" i="12"/>
  <c r="B54" i="13"/>
  <c r="B53" i="13"/>
  <c r="B58" i="8"/>
  <c r="B51" i="14"/>
  <c r="B58" i="17"/>
  <c r="B51" i="12"/>
  <c r="B58" i="11"/>
  <c r="C29" i="9"/>
  <c r="H11" i="9"/>
  <c r="H26" i="9"/>
  <c r="E27" i="9"/>
  <c r="I27" i="9"/>
  <c r="F11" i="9"/>
  <c r="G13" i="9"/>
  <c r="C28" i="9"/>
  <c r="I13" i="9"/>
  <c r="G27" i="9"/>
  <c r="E14" i="9"/>
  <c r="D13" i="9"/>
  <c r="G14" i="9"/>
  <c r="F26" i="9"/>
  <c r="D27" i="9"/>
  <c r="D14" i="9"/>
  <c r="B68" i="21" l="1"/>
  <c r="G86" i="21"/>
  <c r="D27" i="21"/>
  <c r="D25" i="21"/>
  <c r="B37" i="28"/>
  <c r="H36" i="28"/>
  <c r="D35" i="28"/>
  <c r="I19" i="9"/>
  <c r="C50" i="9"/>
  <c r="G20" i="9"/>
  <c r="F26" i="21" s="1"/>
  <c r="G19" i="9"/>
  <c r="D6" i="21"/>
  <c r="E20" i="9"/>
  <c r="D26" i="21" s="1"/>
  <c r="H5" i="21"/>
  <c r="D38" i="9"/>
  <c r="D20" i="9"/>
  <c r="C26" i="21" s="1"/>
  <c r="C6" i="21"/>
  <c r="F5" i="21"/>
  <c r="D19" i="9"/>
  <c r="C5" i="21"/>
  <c r="G38" i="9"/>
  <c r="E38" i="9"/>
  <c r="I38" i="9"/>
  <c r="F6" i="21"/>
  <c r="B59" i="8"/>
  <c r="B60" i="8"/>
  <c r="B53" i="12"/>
  <c r="B54" i="12"/>
  <c r="B54" i="14"/>
  <c r="B53" i="14"/>
  <c r="B59" i="13"/>
  <c r="B60" i="13"/>
  <c r="B59" i="11"/>
  <c r="B60" i="11"/>
  <c r="B60" i="17"/>
  <c r="B59" i="17"/>
  <c r="B58" i="14"/>
  <c r="B58" i="12"/>
  <c r="G29" i="9"/>
  <c r="I29" i="9"/>
  <c r="D28" i="9"/>
  <c r="H27" i="9"/>
  <c r="H13" i="9"/>
  <c r="I28" i="9"/>
  <c r="G28" i="9"/>
  <c r="D29" i="9"/>
  <c r="F14" i="9"/>
  <c r="E29" i="9"/>
  <c r="H14" i="9"/>
  <c r="F13" i="9"/>
  <c r="F27" i="9"/>
  <c r="E28" i="9"/>
  <c r="D68" i="21" l="1"/>
  <c r="E86" i="21"/>
  <c r="F68" i="21"/>
  <c r="C86" i="21"/>
  <c r="G68" i="21"/>
  <c r="B86" i="21"/>
  <c r="F62" i="21"/>
  <c r="C83" i="21"/>
  <c r="F28" i="21"/>
  <c r="D28" i="21"/>
  <c r="C28" i="21"/>
  <c r="H25" i="21"/>
  <c r="C27" i="21"/>
  <c r="C25" i="21"/>
  <c r="F27" i="21"/>
  <c r="F25" i="21"/>
  <c r="H31" i="21"/>
  <c r="C36" i="28"/>
  <c r="F36" i="28"/>
  <c r="D36" i="28"/>
  <c r="D37" i="28" s="1"/>
  <c r="C35" i="28"/>
  <c r="F35" i="28"/>
  <c r="H35" i="28"/>
  <c r="H37" i="28" s="1"/>
  <c r="I41" i="9"/>
  <c r="I47" i="9" s="1"/>
  <c r="B18" i="21"/>
  <c r="B20" i="21" s="1"/>
  <c r="B22" i="21" s="1"/>
  <c r="B46" i="21" s="1"/>
  <c r="B50" i="21" s="1"/>
  <c r="B11" i="21"/>
  <c r="B13" i="21" s="1"/>
  <c r="H19" i="9"/>
  <c r="H20" i="9"/>
  <c r="G26" i="21" s="1"/>
  <c r="I50" i="9"/>
  <c r="D50" i="9"/>
  <c r="C56" i="9" s="1"/>
  <c r="E50" i="9"/>
  <c r="G50" i="9"/>
  <c r="G41" i="9"/>
  <c r="E41" i="9"/>
  <c r="D41" i="9"/>
  <c r="C18" i="21"/>
  <c r="C20" i="21" s="1"/>
  <c r="C22" i="21" s="1"/>
  <c r="C46" i="21" s="1"/>
  <c r="C50" i="21" s="1"/>
  <c r="F19" i="9"/>
  <c r="F20" i="9"/>
  <c r="E26" i="21" s="1"/>
  <c r="C11" i="21"/>
  <c r="C13" i="21" s="1"/>
  <c r="C15" i="21" s="1"/>
  <c r="F38" i="9"/>
  <c r="E5" i="21"/>
  <c r="G5" i="21"/>
  <c r="G11" i="21" s="1"/>
  <c r="H38" i="9"/>
  <c r="G6" i="21"/>
  <c r="E6" i="21"/>
  <c r="B60" i="12"/>
  <c r="B59" i="12"/>
  <c r="B59" i="14"/>
  <c r="B60" i="14"/>
  <c r="H29" i="9"/>
  <c r="F28" i="9"/>
  <c r="F29" i="9"/>
  <c r="H28" i="9"/>
  <c r="C51" i="9" l="1"/>
  <c r="C55" i="9"/>
  <c r="C54" i="9"/>
  <c r="C53" i="9"/>
  <c r="C52" i="9"/>
  <c r="C68" i="21"/>
  <c r="F86" i="21"/>
  <c r="E68" i="21"/>
  <c r="D86" i="21"/>
  <c r="G62" i="21"/>
  <c r="B83" i="21"/>
  <c r="D62" i="21"/>
  <c r="E83" i="21"/>
  <c r="B62" i="21"/>
  <c r="G83" i="21"/>
  <c r="E28" i="21"/>
  <c r="G28" i="21"/>
  <c r="G27" i="21"/>
  <c r="G25" i="21"/>
  <c r="E27" i="21"/>
  <c r="E25" i="21"/>
  <c r="F63" i="21"/>
  <c r="C58" i="21"/>
  <c r="F55" i="21"/>
  <c r="B15" i="21"/>
  <c r="B45" i="21" s="1"/>
  <c r="B49" i="21" s="1"/>
  <c r="F69" i="21"/>
  <c r="B58" i="21"/>
  <c r="D59" i="21" s="1"/>
  <c r="E58" i="21"/>
  <c r="D58" i="21"/>
  <c r="E55" i="21"/>
  <c r="G58" i="21"/>
  <c r="F58" i="21"/>
  <c r="D55" i="21"/>
  <c r="C55" i="21"/>
  <c r="B55" i="21"/>
  <c r="G55" i="21"/>
  <c r="C37" i="28"/>
  <c r="F37" i="28"/>
  <c r="E36" i="28"/>
  <c r="G36" i="28"/>
  <c r="E35" i="28"/>
  <c r="G35" i="28"/>
  <c r="C84" i="21"/>
  <c r="C30" i="21"/>
  <c r="C45" i="21"/>
  <c r="C49" i="21" s="1"/>
  <c r="H30" i="21"/>
  <c r="C31" i="21"/>
  <c r="B31" i="21"/>
  <c r="I45" i="9"/>
  <c r="I44" i="9"/>
  <c r="I46" i="9"/>
  <c r="I43" i="9"/>
  <c r="I42" i="9"/>
  <c r="G13" i="21"/>
  <c r="G15" i="21" s="1"/>
  <c r="G18" i="21"/>
  <c r="G20" i="21" s="1"/>
  <c r="G22" i="21" s="1"/>
  <c r="G87" i="21" s="1"/>
  <c r="F18" i="21"/>
  <c r="F20" i="21" s="1"/>
  <c r="F22" i="21" s="1"/>
  <c r="F46" i="21" s="1"/>
  <c r="F50" i="21" s="1"/>
  <c r="E11" i="21"/>
  <c r="E13" i="21" s="1"/>
  <c r="E15" i="21" s="1"/>
  <c r="F11" i="21"/>
  <c r="F13" i="21" s="1"/>
  <c r="F15" i="21" s="1"/>
  <c r="F45" i="21" s="1"/>
  <c r="F49" i="21" s="1"/>
  <c r="H41" i="9"/>
  <c r="G46" i="9" s="1"/>
  <c r="I55" i="9"/>
  <c r="I56" i="9"/>
  <c r="D55" i="9"/>
  <c r="D56" i="9"/>
  <c r="D53" i="9"/>
  <c r="D54" i="9"/>
  <c r="I53" i="9"/>
  <c r="I54" i="9"/>
  <c r="D51" i="9"/>
  <c r="D52" i="9"/>
  <c r="I51" i="9"/>
  <c r="I52" i="9"/>
  <c r="F50" i="9"/>
  <c r="E54" i="9" s="1"/>
  <c r="H50" i="9"/>
  <c r="D47" i="9"/>
  <c r="D43" i="9"/>
  <c r="F41" i="9"/>
  <c r="C42" i="9" s="1"/>
  <c r="D18" i="21"/>
  <c r="D20" i="21" s="1"/>
  <c r="D22" i="21" s="1"/>
  <c r="D46" i="21" s="1"/>
  <c r="D50" i="21" s="1"/>
  <c r="D11" i="21"/>
  <c r="D13" i="21" s="1"/>
  <c r="D15" i="21" s="1"/>
  <c r="E18" i="21"/>
  <c r="E20" i="21" s="1"/>
  <c r="E22" i="21" s="1"/>
  <c r="C31" i="9"/>
  <c r="C32" i="9"/>
  <c r="C51" i="28" s="1"/>
  <c r="C46" i="9" l="1"/>
  <c r="C43" i="9"/>
  <c r="D42" i="9"/>
  <c r="D46" i="9"/>
  <c r="C47" i="9"/>
  <c r="D45" i="9"/>
  <c r="E45" i="9"/>
  <c r="D44" i="9"/>
  <c r="C44" i="9"/>
  <c r="C45" i="9"/>
  <c r="E62" i="21"/>
  <c r="D83" i="21"/>
  <c r="E63" i="21" s="1"/>
  <c r="C62" i="21"/>
  <c r="F83" i="21"/>
  <c r="C63" i="21" s="1"/>
  <c r="B84" i="21"/>
  <c r="D63" i="21"/>
  <c r="D69" i="21"/>
  <c r="B30" i="21"/>
  <c r="B87" i="21"/>
  <c r="G69" i="21"/>
  <c r="B69" i="21"/>
  <c r="G63" i="21"/>
  <c r="B63" i="21"/>
  <c r="B39" i="21" a="1"/>
  <c r="B39" i="21" s="1"/>
  <c r="B36" i="21"/>
  <c r="C87" i="21"/>
  <c r="B38" i="21" a="1"/>
  <c r="B38" i="21" s="1"/>
  <c r="C59" i="21"/>
  <c r="B56" i="21"/>
  <c r="F59" i="21"/>
  <c r="B59" i="21"/>
  <c r="E87" i="21"/>
  <c r="E59" i="21"/>
  <c r="G59" i="21"/>
  <c r="E56" i="21"/>
  <c r="C56" i="21"/>
  <c r="F56" i="21"/>
  <c r="D56" i="21"/>
  <c r="G56" i="21"/>
  <c r="E84" i="21"/>
  <c r="E37" i="28"/>
  <c r="E69" i="21"/>
  <c r="G37" i="28"/>
  <c r="B71" i="21"/>
  <c r="B37" i="21"/>
  <c r="E44" i="9"/>
  <c r="E53" i="9"/>
  <c r="E43" i="9"/>
  <c r="E47" i="9"/>
  <c r="E52" i="9"/>
  <c r="E56" i="9"/>
  <c r="E42" i="9"/>
  <c r="E46" i="9"/>
  <c r="E51" i="9"/>
  <c r="E55" i="9"/>
  <c r="G45" i="9"/>
  <c r="G43" i="9"/>
  <c r="G47" i="9"/>
  <c r="G42" i="9"/>
  <c r="G44" i="9"/>
  <c r="B72" i="21"/>
  <c r="B40" i="28"/>
  <c r="C69" i="21"/>
  <c r="G45" i="21"/>
  <c r="G49" i="21" s="1"/>
  <c r="G84" i="21"/>
  <c r="E45" i="21"/>
  <c r="E49" i="21" s="1"/>
  <c r="E46" i="21"/>
  <c r="E50" i="21" s="1"/>
  <c r="G46" i="21"/>
  <c r="G50" i="21" s="1"/>
  <c r="D30" i="21"/>
  <c r="D45" i="21"/>
  <c r="D49" i="21" s="1"/>
  <c r="F31" i="21"/>
  <c r="F30" i="21"/>
  <c r="D31" i="21"/>
  <c r="E31" i="21"/>
  <c r="E30" i="21"/>
  <c r="G30" i="21"/>
  <c r="G31" i="21"/>
  <c r="H44" i="9"/>
  <c r="H42" i="9"/>
  <c r="H45" i="9"/>
  <c r="H46" i="9"/>
  <c r="H47" i="9"/>
  <c r="H43" i="9"/>
  <c r="F56" i="9"/>
  <c r="H55" i="9"/>
  <c r="H56" i="9"/>
  <c r="G56" i="9"/>
  <c r="F55" i="9"/>
  <c r="G55" i="9"/>
  <c r="F54" i="9"/>
  <c r="H53" i="9"/>
  <c r="H54" i="9"/>
  <c r="G54" i="9"/>
  <c r="F53" i="9"/>
  <c r="G53" i="9"/>
  <c r="F52" i="9"/>
  <c r="H51" i="9"/>
  <c r="H52" i="9"/>
  <c r="G52" i="9"/>
  <c r="F51" i="9"/>
  <c r="G51" i="9"/>
  <c r="E51" i="28"/>
  <c r="F46" i="9"/>
  <c r="F47" i="9"/>
  <c r="F44" i="9"/>
  <c r="F45" i="9"/>
  <c r="F42" i="9"/>
  <c r="F43" i="9"/>
  <c r="D75" i="26"/>
  <c r="D74" i="26" s="1"/>
  <c r="D77" i="26" s="1"/>
  <c r="B11" i="27"/>
  <c r="B20" i="27" s="1"/>
  <c r="D52" i="26"/>
  <c r="H52" i="26"/>
  <c r="D41" i="26"/>
  <c r="D25" i="26"/>
  <c r="D24" i="26" s="1"/>
  <c r="H25" i="26"/>
  <c r="H24" i="26" s="1"/>
  <c r="H12" i="26"/>
  <c r="H11" i="26" s="1"/>
  <c r="D12" i="26"/>
  <c r="D32" i="25"/>
  <c r="D31" i="25" s="1"/>
  <c r="D16" i="25"/>
  <c r="C34" i="9"/>
  <c r="D34" i="9" s="1"/>
  <c r="D37" i="21"/>
  <c r="D36" i="21"/>
  <c r="D39" i="21"/>
  <c r="D38" i="21"/>
  <c r="B66" i="21" l="1"/>
  <c r="D84" i="21"/>
  <c r="D87" i="21"/>
  <c r="B39" i="28"/>
  <c r="B65" i="21"/>
  <c r="F87" i="21"/>
  <c r="F84" i="21"/>
  <c r="B52" i="21"/>
  <c r="B53" i="21"/>
  <c r="B35" i="21"/>
  <c r="B34" i="21"/>
  <c r="E34" i="9"/>
  <c r="M73" i="26"/>
  <c r="K73" i="26"/>
  <c r="I73" i="26"/>
  <c r="D11" i="26"/>
  <c r="D51" i="26"/>
  <c r="K56" i="26" s="1"/>
  <c r="D40" i="26"/>
  <c r="B44" i="26" s="1"/>
  <c r="D44" i="26" s="1"/>
  <c r="B19" i="27"/>
  <c r="B17" i="27"/>
  <c r="B16" i="27"/>
  <c r="N31" i="25"/>
  <c r="D15" i="25"/>
  <c r="D71" i="21"/>
  <c r="D72" i="21"/>
  <c r="D65" i="21"/>
  <c r="D66" i="21"/>
  <c r="B75" i="21" l="1"/>
  <c r="E43" i="28" s="1"/>
  <c r="B54" i="26"/>
  <c r="B27" i="26"/>
  <c r="D54" i="26" s="1"/>
  <c r="B15" i="26"/>
  <c r="D30" i="25"/>
  <c r="L31" i="25"/>
  <c r="N15" i="25"/>
  <c r="L15" i="25"/>
  <c r="D14" i="25"/>
  <c r="E41" i="21" l="1"/>
  <c r="K30" i="26"/>
  <c r="D27" i="26"/>
  <c r="K29" i="26"/>
  <c r="D15" i="26"/>
  <c r="B40" i="21" l="1"/>
  <c r="B41" i="28" s="1"/>
  <c r="C43" i="28" l="1"/>
</calcChain>
</file>

<file path=xl/sharedStrings.xml><?xml version="1.0" encoding="utf-8"?>
<sst xmlns="http://schemas.openxmlformats.org/spreadsheetml/2006/main" count="510" uniqueCount="424">
  <si>
    <t>Coefficient B²</t>
  </si>
  <si>
    <t>nk</t>
  </si>
  <si>
    <t>SCEk</t>
  </si>
  <si>
    <t>A</t>
  </si>
  <si>
    <t>B</t>
  </si>
  <si>
    <t>C</t>
  </si>
  <si>
    <t>D</t>
  </si>
  <si>
    <t>E</t>
  </si>
  <si>
    <t>F</t>
  </si>
  <si>
    <t>G</t>
  </si>
  <si>
    <t>Accuracy profile</t>
  </si>
  <si>
    <t>Level</t>
  </si>
  <si>
    <t>Target value</t>
  </si>
  <si>
    <t>Series (Day) 01</t>
  </si>
  <si>
    <t>Series (Day) 02</t>
  </si>
  <si>
    <t>Series (Day) 03</t>
  </si>
  <si>
    <t>Series (Day) 04</t>
  </si>
  <si>
    <t>Series (Day) 05</t>
  </si>
  <si>
    <t>Series (Day) 06</t>
  </si>
  <si>
    <t>Series (Day) 07</t>
  </si>
  <si>
    <t>Series (Day) 08</t>
  </si>
  <si>
    <t>Series (Day) 09</t>
  </si>
  <si>
    <t>Series (Day) 10</t>
  </si>
  <si>
    <t>Series (Day) 11</t>
  </si>
  <si>
    <t>Series (Day) 12</t>
  </si>
  <si>
    <t>Series (Day) 13</t>
  </si>
  <si>
    <t>Series (Day) 14</t>
  </si>
  <si>
    <t>Series (Day) 15</t>
  </si>
  <si>
    <t>Series (Day) 16</t>
  </si>
  <si>
    <t>Series (Day) 17</t>
  </si>
  <si>
    <t>Series (Day) 18</t>
  </si>
  <si>
    <t>Series (Day) 19</t>
  </si>
  <si>
    <t>Series (Day) 20</t>
  </si>
  <si>
    <t>Intermediary coefficient for s²L</t>
  </si>
  <si>
    <t>Variance of repeatability (s²r)</t>
  </si>
  <si>
    <t>Precision</t>
  </si>
  <si>
    <t>Average of the level</t>
  </si>
  <si>
    <t>Trueness</t>
  </si>
  <si>
    <t>Bias (%)</t>
  </si>
  <si>
    <t>Number of degrees of freedom</t>
  </si>
  <si>
    <t>t Student low</t>
  </si>
  <si>
    <t>t Student high</t>
  </si>
  <si>
    <t>Tolerance interval (TI)</t>
  </si>
  <si>
    <t>Standard deviation of TI (sTI)</t>
  </si>
  <si>
    <t>Coverage factor (kM)</t>
  </si>
  <si>
    <t>Probability for TI (beta)</t>
  </si>
  <si>
    <t>Lower limit TI</t>
  </si>
  <si>
    <t>Upper limit TI</t>
  </si>
  <si>
    <t>Uncertainty</t>
  </si>
  <si>
    <t>Composite standard uncertainty</t>
  </si>
  <si>
    <t>Expanded uncertainty</t>
  </si>
  <si>
    <t>Acceptability limit</t>
  </si>
  <si>
    <t>Variance between-series (s²B)</t>
  </si>
  <si>
    <t>Variance of inter. precision (s²P)</t>
  </si>
  <si>
    <t>Std. deviation of repeatability (sr)</t>
  </si>
  <si>
    <t>Std. deviation between-series (sB)</t>
  </si>
  <si>
    <t>Std. deviation of inter. precision (sP)</t>
  </si>
  <si>
    <t>Variance ratio (A)</t>
  </si>
  <si>
    <t>Lower limit TI (%)</t>
  </si>
  <si>
    <t>Upper limit TI (%)</t>
  </si>
  <si>
    <t>Recovery yield (%)</t>
  </si>
  <si>
    <t>Accuracy (%)</t>
  </si>
  <si>
    <t>Warning</t>
  </si>
  <si>
    <t>Before using this workbook, make a copy.</t>
  </si>
  <si>
    <t>The author refuses to accept any responsibility for an incorrect use of these worksheets and gives no guarantee on the correctness of obtained results.</t>
  </si>
  <si>
    <t>User's manual</t>
  </si>
  <si>
    <t>These values can be interactively modified.</t>
  </si>
  <si>
    <t>4) The graphic is not protected and its presentation can be modified.</t>
  </si>
  <si>
    <t xml:space="preserve">It is provided in order to help implementing the accuracy profile method. </t>
  </si>
  <si>
    <t>In order to improve this program, please report any error to max.feinberg@orange.fr.</t>
  </si>
  <si>
    <t>1) Fill as much as necessary level sheet (named A to G) with your data in appropriate cells.</t>
  </si>
  <si>
    <t>for this, use white cells. They are not protected. If they already contain data, previously delete it.</t>
  </si>
  <si>
    <t>Experimental design is limited: 7 levels, 20 series/level and 5 replicates/series.</t>
  </si>
  <si>
    <t>2) Fill target value of each level sheet in the appropriate cell.</t>
  </si>
  <si>
    <t>Data to be selected for the accuracy profile are in blue and uncertainty in green.</t>
  </si>
  <si>
    <t>Rep 1</t>
  </si>
  <si>
    <t>Rep 2</t>
  </si>
  <si>
    <t>Rep 3</t>
  </si>
  <si>
    <t>Rep 4</t>
  </si>
  <si>
    <t>Rep 5</t>
  </si>
  <si>
    <t>Rep 6</t>
  </si>
  <si>
    <t>xbark</t>
  </si>
  <si>
    <t>Mode d'emploi</t>
  </si>
  <si>
    <t xml:space="preserve">Avant d'utiliser ce classeur, en faire une copie. </t>
  </si>
  <si>
    <t>Procédure</t>
  </si>
  <si>
    <t xml:space="preserve">Ces feuilles de calcul sont libres d'emploi, pour aider à mettre en œuvre la méthode du profil d'exactitude. </t>
  </si>
  <si>
    <t>L'auteur décline toute responsabilité quant aux résultats obtenus ou en cas d'un usage inapproprié.</t>
  </si>
  <si>
    <t xml:space="preserve"> Elles ne sont fournies qu'à titre indicatif et sans garantie.  </t>
  </si>
  <si>
    <t xml:space="preserve">1) Remplir chaque feuille Niveau (noté de A à G) avec les données obtenues par prédiction inverse. </t>
  </si>
  <si>
    <t xml:space="preserve">Pour cela utiliser les cases dont le fond est blanc, elles ne sont pas protégées. Si elles contiennent déjà des données, les effacer au préalable. </t>
  </si>
  <si>
    <t>Respecter la disposition Jour/Répétition prévue des données.</t>
  </si>
  <si>
    <t>Do not change the layout of the sheet Series/Duplicates and change no names</t>
  </si>
  <si>
    <t>Le plan d'expérience est limité à 7 niveaux, 20 séries/niveau et 5 répétitions/ série</t>
  </si>
  <si>
    <t>2) Pour chaque niveau, saisir la valeur de référence dans la case "Valeur de référence"</t>
  </si>
  <si>
    <t>Ces valeurs peuvent être modifiées de façon interactive.</t>
  </si>
  <si>
    <t>Profil d'exactitude</t>
  </si>
  <si>
    <t>Probabilité tolérance (bêta)</t>
  </si>
  <si>
    <t>Valeur cible</t>
  </si>
  <si>
    <t>Moyenne niveau</t>
  </si>
  <si>
    <t>Nombre de degrés liberté</t>
  </si>
  <si>
    <t>Valeur basse tolérance</t>
  </si>
  <si>
    <t>Valeur haute tolérance</t>
  </si>
  <si>
    <t>Limite basse tolérance (%)</t>
  </si>
  <si>
    <t>Limite haute tolérance (%)</t>
  </si>
  <si>
    <t>Niveau</t>
  </si>
  <si>
    <t>Exactitude (%)</t>
  </si>
  <si>
    <t>Incertitude</t>
  </si>
  <si>
    <t>Incertitude-type composée</t>
  </si>
  <si>
    <t>Incertitude étendue</t>
  </si>
  <si>
    <t>Biais (%)</t>
  </si>
  <si>
    <t>Facteur de couverture</t>
  </si>
  <si>
    <t>Valeur de référence</t>
  </si>
  <si>
    <t>SCE résiduelle</t>
  </si>
  <si>
    <t>SCE totale</t>
  </si>
  <si>
    <t>SCE inter-séries</t>
  </si>
  <si>
    <t>Valeur intermédiaire de s²L</t>
  </si>
  <si>
    <t>Variance de répétabilité (s²r)</t>
  </si>
  <si>
    <t>Variance inter-séries (s²L)</t>
  </si>
  <si>
    <t>Variance de fidélité (s²FI)</t>
  </si>
  <si>
    <t>Fidélité</t>
  </si>
  <si>
    <t>Justesse</t>
  </si>
  <si>
    <t>Rapport des variances (R)</t>
  </si>
  <si>
    <t>t Student bas</t>
  </si>
  <si>
    <t>t Student haut</t>
  </si>
  <si>
    <t>Facteur de couverture (ktol)</t>
  </si>
  <si>
    <t>Intervalle de tolérance (IT)</t>
  </si>
  <si>
    <t xml:space="preserve">  </t>
  </si>
  <si>
    <t>Série (Jour) 01</t>
  </si>
  <si>
    <t>Série (Jour) 02</t>
  </si>
  <si>
    <t>Série (Jour) 03</t>
  </si>
  <si>
    <t>Série (Jour) 04</t>
  </si>
  <si>
    <t>Série (Jour) 05</t>
  </si>
  <si>
    <t>Série (Jour) 06</t>
  </si>
  <si>
    <t>Série (Jour) 07</t>
  </si>
  <si>
    <t>Série (Jour) 08</t>
  </si>
  <si>
    <t>Série (Jour) 09</t>
  </si>
  <si>
    <t>Série (Jour) 10</t>
  </si>
  <si>
    <t>Série (Jour) 11</t>
  </si>
  <si>
    <t>Série (Jour) 12</t>
  </si>
  <si>
    <t>Série (Jour) 13</t>
  </si>
  <si>
    <t>Série (Jour) 14</t>
  </si>
  <si>
    <t>Série (Jour) 15</t>
  </si>
  <si>
    <t>Série (Jour) 16</t>
  </si>
  <si>
    <t>Série (Jour) 17</t>
  </si>
  <si>
    <t>Série (Jour) 18</t>
  </si>
  <si>
    <t>Série (Jour) 19</t>
  </si>
  <si>
    <t>Série (Jour) 20</t>
  </si>
  <si>
    <t>Résultats généraux</t>
  </si>
  <si>
    <t>Global results</t>
  </si>
  <si>
    <t>Std. deviation of intermediate precision (sP)</t>
  </si>
  <si>
    <t>Nombre de séries (I)</t>
  </si>
  <si>
    <t>Nombre de répétitions (J)</t>
  </si>
  <si>
    <t>Nombre de mesures (IJ)</t>
  </si>
  <si>
    <t>Number of series (I)</t>
  </si>
  <si>
    <t>Number of measures (IJ)</t>
  </si>
  <si>
    <t>Number of replicates (J)</t>
  </si>
  <si>
    <t>Within-series sum of squares</t>
  </si>
  <si>
    <t>Total sum of squares</t>
  </si>
  <si>
    <t>Between-series sum of squares</t>
  </si>
  <si>
    <t>Nombre de mesures corrigé (Ne)</t>
  </si>
  <si>
    <t>Corrected number of measures (Ne)</t>
  </si>
  <si>
    <t>Valeur basse intervalle tolérance</t>
  </si>
  <si>
    <t>Valeur haute intervalle tolérance</t>
  </si>
  <si>
    <t>Biais relatif (%)</t>
  </si>
  <si>
    <t>Relative bias (%)</t>
  </si>
  <si>
    <t>Taux de recouvrement (%)</t>
  </si>
  <si>
    <t>Langue</t>
  </si>
  <si>
    <t>Constante</t>
  </si>
  <si>
    <t>Puissance</t>
  </si>
  <si>
    <t>Constant</t>
  </si>
  <si>
    <t>Power</t>
  </si>
  <si>
    <t>Coefficients de la fonction d'incertitude élargie relative</t>
  </si>
  <si>
    <t>Coefficients of relative expanded uncertainty function</t>
  </si>
  <si>
    <t xml:space="preserve">Graphics of accuracy profile : select not empty blue cells 
</t>
  </si>
  <si>
    <t xml:space="preserve">Graphics of accuracy profile : select not empty green cells 
</t>
  </si>
  <si>
    <t>t1</t>
  </si>
  <si>
    <t>a1</t>
  </si>
  <si>
    <t>t0</t>
  </si>
  <si>
    <t>a0</t>
  </si>
  <si>
    <t xml:space="preserve">Limite d'acceptabilité basse </t>
  </si>
  <si>
    <t>Limite d'acceptabilité haute</t>
  </si>
  <si>
    <t xml:space="preserve">Lower acceptability limit </t>
  </si>
  <si>
    <t xml:space="preserve">Upper acceptability limit </t>
  </si>
  <si>
    <t>Calcul des limites de quantification</t>
  </si>
  <si>
    <t>Incertitude relative élargie</t>
  </si>
  <si>
    <t>Relative expanded uncertainty</t>
  </si>
  <si>
    <t xml:space="preserve">Entrez une concentration </t>
  </si>
  <si>
    <t xml:space="preserve">Input concentration </t>
  </si>
  <si>
    <t>Afin d'améliorer ce programme, merci de signaler toute erreur à max.feinberg@orange.fr en indiquant le nom de la feuille, la cellule erronée et la nouvelle formule.</t>
  </si>
  <si>
    <t xml:space="preserve">4) Dans la feuille "Bilan", saisir une valeur pour la proportion bêta et pour la limite d'acceptabilité. </t>
  </si>
  <si>
    <t>3) In sheet "Bilan", input the values for the probability beta and the limits of acceptability.</t>
  </si>
  <si>
    <t>Niveaux</t>
  </si>
  <si>
    <t>Levels</t>
  </si>
  <si>
    <t>Entrer la limite d'acceptabilité en %</t>
  </si>
  <si>
    <t>Enter la probabilité  bêta en %</t>
  </si>
  <si>
    <t>Incertitude relative (%)</t>
  </si>
  <si>
    <t>Lower limit of relative uncertainty</t>
  </si>
  <si>
    <t>Upper limit of relative uncertainty</t>
  </si>
  <si>
    <t>Relative uncertainty (%)</t>
  </si>
  <si>
    <t>Limite basse incertitude relative (%)</t>
  </si>
  <si>
    <t>Limite haute incertitude relative (%)</t>
  </si>
  <si>
    <t>LOQ - Intersection basse</t>
  </si>
  <si>
    <t>LOQ - Intersection haute</t>
  </si>
  <si>
    <t>LOQ - Lower intercept</t>
  </si>
  <si>
    <t>LOQ - Upper intercept</t>
  </si>
  <si>
    <t xml:space="preserve">Graphique du profil d'exactitude : sélectionner les cellules bleues non vides
</t>
  </si>
  <si>
    <t xml:space="preserve">Graphique du profil d'incertitude : sélectionner les cellules vertes non vides
</t>
  </si>
  <si>
    <t>Valeurs possibles de LOQ</t>
  </si>
  <si>
    <t>Possible values for LOQ</t>
  </si>
  <si>
    <t>Select most likely value of LOQ</t>
  </si>
  <si>
    <t>This workbook is free of use.</t>
  </si>
  <si>
    <t xml:space="preserve">4) Le graphique n'est pas protégé et peut être modifié manuellement en fonction du nombre de niveaux. </t>
  </si>
  <si>
    <t xml:space="preserve">Pour le profil d'exactitude, les données à sélectionner sont en bleu.  </t>
  </si>
  <si>
    <t>Écart-type de répétabilité (sr)</t>
  </si>
  <si>
    <t>Écart-type de fidélité intermédiaire (sFI)</t>
  </si>
  <si>
    <t>Écart-type du IT (sIT)</t>
  </si>
  <si>
    <t>Écart-type inter-séries (sL)</t>
  </si>
  <si>
    <t>Écart-type de fidélité (sFI)</t>
  </si>
  <si>
    <t>Sélectionner la valeur la plus plausible de LOQ</t>
  </si>
  <si>
    <t>a</t>
  </si>
  <si>
    <t>b</t>
  </si>
  <si>
    <t>Utiliser la valeur corrigée avec la correction appropriée.</t>
  </si>
  <si>
    <t>Correction d'une valeur mesurée du biais de mesure</t>
  </si>
  <si>
    <t>Entrer une valeur mesurée</t>
  </si>
  <si>
    <t>Correction à appliquer</t>
  </si>
  <si>
    <t>Aucune</t>
  </si>
  <si>
    <t>Fonction biais de mesure</t>
  </si>
  <si>
    <t>Méthode d'analyse sans biais</t>
  </si>
  <si>
    <t>Observation profil exactitude</t>
  </si>
  <si>
    <t>Observation fonction biais de mesure</t>
  </si>
  <si>
    <t xml:space="preserve">Lorsqu'il est nécessaire de corriger un biais de mesure, les valeurs de correction proviennent de la fonction y=ax+b du biais de mesure. (a = composante propotionnelle, b = composante constante). </t>
  </si>
  <si>
    <t>La correction ou la non correction d'un biais de mesure, est déduite de l'observation du profil d'exactitude complétée de l'observation de la "fonction du biais de mesure".</t>
  </si>
  <si>
    <t>Trois situations de correction peuvent être rencontrées; 1-corriger uniquement de la valeur a; 2-corriger uniquement de la valeur b; 3-corriger de la valeur a et de la valeur b.</t>
  </si>
  <si>
    <t>Correction d'un biais de mesure (4 étapes).</t>
  </si>
  <si>
    <t xml:space="preserve">4-Exprimer les futurs résultats de mesure </t>
  </si>
  <si>
    <t>Guide du choix de la correction à appliquer ou non:</t>
  </si>
  <si>
    <t>Les valeurs moyennes (points jaunes) des niveaux sont toutes proches de 100%. La méthode d'analyse peut cependant ne pas être valide (limites de tolérance hors des limites d'acceptabilité, dû a une trop grande dispersion des valeurs)</t>
  </si>
  <si>
    <t>Les valeurs moyennes (points jaunes) sont parallèles à la valeur cible 100%. Le décalage observé peut être négatif ou positif. La méthode d'analyse peut également être valide, le choix de corriger revient au responsable de la méthode et/ou au commanditaire.</t>
  </si>
  <si>
    <t>Diviser toutes les valeurs mesurées par la valeur de la composante proportionnelle (a). Dans l'exemple, diviser les valeurs mesurées par 0.6.</t>
  </si>
  <si>
    <t>Valeurs de la composante proportionnelle (a) et de la composante constante (b) de la modélisation du biais de mesure de la méthode d'analyse (y=ax+b)</t>
  </si>
  <si>
    <t>Il est observé un décalage important (positif ou négatif) des valeurs moyennes (points jaunes) pour les plus faibles niveaux. La méthode d'analyse peut ne pas être valide à ces niveaux. Pour les moyennes des valeurs fortes il peut être observé un léger décalage, qui est négligeable.</t>
  </si>
  <si>
    <t>Il est observé un décalage pour les valeurs moyennes (points jaunes) des niveaux les plus élévés non négligeable. Ce décalage n'est pas identique pour les faibles niveaux, il peut être réduit ou amplifié.</t>
  </si>
  <si>
    <r>
      <t xml:space="preserve">Enlever la valeur de la composante constante (b) à toutes les valeurs mesurées. Lorsqu'elle est négative, elle prendra donc une valeur positive. Dans l'exemple, +2 devient -2. A toutes les valeurs mesurées il est retiré 2. </t>
    </r>
    <r>
      <rPr>
        <b/>
        <i/>
        <sz val="9"/>
        <rFont val="Verdana"/>
        <family val="2"/>
      </rPr>
      <t>Dans l'exemple, la méthode est valide et la correction non nécessaire, sauf si les valeurs mesurées futures sont comparées à des seuils, dans ce cas il faut les ajuster et donc les corriger.</t>
    </r>
  </si>
  <si>
    <t xml:space="preserve">1-Méthode d'analyse avec un biais proportionnel (a). </t>
  </si>
  <si>
    <t>2-Méthode d'analyse avec un biais constant (b).</t>
  </si>
  <si>
    <t>3-Méthode d'analyse avec un biais proportionnel (a) et un biais constant (b).</t>
  </si>
  <si>
    <t>La pente du modèle de la méthode d'analyses est différente de celle d'une méthode sans biais. Elle peut être plus faible ou plus forte. Il faut observer la valeur de la composante constante (b) pour juger si elle est négligeable ou non. Dans certaines situations les deux droites peuvent se croiser.</t>
  </si>
  <si>
    <t>Enlever la valeur de la composante constante (b) à toutes les valeurs mesurées. Lorsqu'elle est négative elle prendra une valeur positive. Puis diviser le résultat obtenu par la composante proportionnelle (a). Dans l'exemple, enlever 2 à toutes les valeurs mesurées et diviser ce résultat par 0.6.</t>
  </si>
  <si>
    <t>cellules à remplir</t>
  </si>
  <si>
    <t>résultats</t>
  </si>
  <si>
    <r>
      <t>1</t>
    </r>
    <r>
      <rPr>
        <b/>
        <vertAlign val="superscript"/>
        <sz val="11"/>
        <color theme="1"/>
        <rFont val="Calibri"/>
        <family val="2"/>
        <scheme val="minor"/>
      </rPr>
      <t>ere</t>
    </r>
    <r>
      <rPr>
        <b/>
        <sz val="11"/>
        <color theme="1"/>
        <rFont val="Calibri"/>
        <family val="2"/>
        <scheme val="minor"/>
      </rPr>
      <t xml:space="preserve"> valeur mesurée:</t>
    </r>
  </si>
  <si>
    <r>
      <t>2</t>
    </r>
    <r>
      <rPr>
        <b/>
        <vertAlign val="superscript"/>
        <sz val="11"/>
        <color theme="1"/>
        <rFont val="Calibri"/>
        <family val="2"/>
        <scheme val="minor"/>
      </rPr>
      <t>nd</t>
    </r>
    <r>
      <rPr>
        <b/>
        <sz val="11"/>
        <color theme="1"/>
        <rFont val="Calibri"/>
        <family val="2"/>
        <scheme val="minor"/>
      </rPr>
      <t xml:space="preserve"> valeur mesurée:</t>
    </r>
  </si>
  <si>
    <t>incertitude type composée:</t>
  </si>
  <si>
    <t>seuil de discrimination</t>
  </si>
  <si>
    <t>Différence absolue entre les valeurs mesurées</t>
  </si>
  <si>
    <t xml:space="preserve">Discrimination possible ? </t>
  </si>
  <si>
    <t>La pente du modèle de la méthode d'analyses est différente de celle d'une méthode sans biais. Elle peut être plus faible ou plus forte. Il peut être observé une valeur (b) négligeable.</t>
  </si>
  <si>
    <t>Les moyennes des niveaux (y) sont égales aux valeurs de référence correspondantes (x). Il peut être relevé une valeur (a) et/ou une valeur  (b) négligeables, qui ne nécessitent pas d'être corrigées.</t>
  </si>
  <si>
    <t>3-Corriger les données de validation pour tracer un nouveau profil d'exactitude dit "corrigé" (créer un nouveau classeur)</t>
  </si>
  <si>
    <t>entrer une valeur mesurée:</t>
  </si>
  <si>
    <t>1-Expression du résultat de mesure d'une méthode d'analyse sans biais de mesure:</t>
  </si>
  <si>
    <t>2-Expression du résultat de mesure d'une méthode d'analyse présentant un biais de mesure:</t>
  </si>
  <si>
    <t xml:space="preserve"> </t>
  </si>
  <si>
    <t>correction du biais proportionnel (a)</t>
  </si>
  <si>
    <t>correction du biais constant (b)</t>
  </si>
  <si>
    <t>correction du biais proportionnel (a) et constant (b)</t>
  </si>
  <si>
    <t>Valeur réelle du mesurande comprise à 95 % entre:</t>
  </si>
  <si>
    <t>et</t>
  </si>
  <si>
    <t>valeur mesurée sans biais</t>
  </si>
  <si>
    <t>±</t>
  </si>
  <si>
    <t>k = 2</t>
  </si>
  <si>
    <t>Incertitude type composée</t>
  </si>
  <si>
    <t xml:space="preserve">Incertitude élargie </t>
  </si>
  <si>
    <t>entrer une valeur mesurée corrigée du biais de mesure :</t>
  </si>
  <si>
    <t>valeur mesurée corrigée (de la valeur du biais a et/ou b)</t>
  </si>
  <si>
    <t>Résultat de mesure (2 écritures possibles, selon GUM, JCGM100:2008)</t>
  </si>
  <si>
    <t>(pour information) valeur mesurée sans biais</t>
  </si>
  <si>
    <t xml:space="preserve">Incertitude élargie % </t>
  </si>
  <si>
    <r>
      <t>1</t>
    </r>
    <r>
      <rPr>
        <b/>
        <vertAlign val="superscript"/>
        <sz val="11"/>
        <color theme="1"/>
        <rFont val="Calibri"/>
        <family val="2"/>
        <scheme val="minor"/>
      </rPr>
      <t>ere</t>
    </r>
    <r>
      <rPr>
        <b/>
        <sz val="11"/>
        <color theme="1"/>
        <rFont val="Calibri"/>
        <family val="2"/>
        <scheme val="minor"/>
      </rPr>
      <t xml:space="preserve"> moyenne:</t>
    </r>
  </si>
  <si>
    <r>
      <t>2</t>
    </r>
    <r>
      <rPr>
        <b/>
        <vertAlign val="superscript"/>
        <sz val="11"/>
        <color theme="1"/>
        <rFont val="Calibri"/>
        <family val="2"/>
        <scheme val="minor"/>
      </rPr>
      <t>nd</t>
    </r>
    <r>
      <rPr>
        <b/>
        <sz val="11"/>
        <color theme="1"/>
        <rFont val="Calibri"/>
        <family val="2"/>
        <scheme val="minor"/>
      </rPr>
      <t xml:space="preserve"> moyenne</t>
    </r>
  </si>
  <si>
    <t>Effectif minimal "n" pour la comparaison de deux valeurs moyennes issues de deux lots expérimentaux:</t>
  </si>
  <si>
    <t>Corriger les futures valeurs mesurées du biais de mesure et les communiquer en qualité de valeurs corrigées complétées de la valeur du biais de mesure (cf. feuille "expression résultat mesure").</t>
  </si>
  <si>
    <r>
      <t xml:space="preserve">Associer l'incertitude de mesure aux valeurs mesurées corrigées </t>
    </r>
    <r>
      <rPr>
        <b/>
        <sz val="9"/>
        <color rgb="FFFF0000"/>
        <rFont val="Verdana"/>
        <family val="2"/>
      </rPr>
      <t>estiméeà partir de la modélisation de l'incertitude de mesure du profil d'exactitude "corrigé"</t>
    </r>
  </si>
  <si>
    <t>Les pentes de la méthode d'analyse et d'une méthode sans biais sont identiques. les deux droites sont décalées et parallèles. Le décalage peut-être positif comme dans l'exemple, ou négatif, et peut présenter des valeurs plus importantes qui rendent la méthode non valide avant correction. Il peut être observé une valeur (a) négligeable.</t>
  </si>
  <si>
    <t>(pour information) valeur mesurée corrigée (de la valeur du biais a et/ou b)</t>
  </si>
  <si>
    <t>(associer les valeurs a et b estimées sur la feuille "choix correction du biais" du classeur réalisé avec la valeurs de validation avant correction du biais de mesure)</t>
  </si>
  <si>
    <t xml:space="preserve">Entrer ci-dessous des valeurs mesurées sans biais. C'est à dire obtenues avec une méthode sans biais ou si obtenues avec une méthode avec biais, corrigées de ce biais de mesure. </t>
  </si>
  <si>
    <t>Dans le cas d'une méthode avec un biais de mesure, réaliser cette estimation de "n" sur le classeur dit "corrigé", les valeurs de validation des feuilles de niveau sont corrigées du biais de mesure.</t>
  </si>
  <si>
    <t>Dans le cas d'une méthode avec un biais de mesure, réaliser cette estimation de la capacité à discriminer sur le classeur dit "corrigé", les valeurs de validation des feuilles de niveau sont corrigées du biais de mesure.</t>
  </si>
  <si>
    <t>Utiliser les informations ci-dessous lorsque la méthode d'analyse est corrigée du biais de mesure, c’est-à-dire lorsque les feuilles de niveau de ce classeur sont remplies avec des valeurs de validation corrigées du biais de mesure (classeur dit "corrigé").</t>
  </si>
  <si>
    <t>2-Définir la correction à appliquer (utiliser le guide ci-dessous)</t>
  </si>
  <si>
    <t>1-Définir si une correction est nécessaire (utiliser le guide ci-dessous)</t>
  </si>
  <si>
    <t>(Pour définir cette valeur corrigée à partir d'une valeur mesurée, utiliser le calcul automatique de la feuille "choix correction du biais" du classeur réalisé avec les valeurs de validation avant correction du biais de mesure)</t>
  </si>
  <si>
    <t>valeur du seuil</t>
  </si>
  <si>
    <t>valeur du seuil:</t>
  </si>
  <si>
    <t>valeur mesurée:</t>
  </si>
  <si>
    <t>Différence absolue entre la valeur mesurée et la valeur du seuil</t>
  </si>
  <si>
    <t xml:space="preserve">Entrer ci-dessous une valeur mesurée sans biais. C'est à dire obtenue avec une méthode sans biais ou si obtenue avec une méthode avec biais, corrigée de ce biais de mesure. </t>
  </si>
  <si>
    <t>moyenne du lot expérimental</t>
  </si>
  <si>
    <t>Effectif minimal "n" pour la comparaison de la valeur moyenne d'un lot à un seuil:</t>
  </si>
  <si>
    <t>Il est nécessaire de le réévaluer en intégrant les autres sources de variablité (telle que la variabilité biologique), pour estimer l'effectif définitif du schéma expérimental d'une étude scientifique.</t>
  </si>
  <si>
    <t>2-Estimation de la capacité de la méthode d'analyse à discriminer une valeur de seuil:</t>
  </si>
  <si>
    <t>1-Estimation de la capacité de la méthode d'analyse à discriminer deux valeurs mesurées:</t>
  </si>
  <si>
    <t>-&gt; Dans le cas d'une valeur moyenne comparée à un seuil, estimation de l'effectif minimal "n" du lot expérimental à utiliser pour significativement détecter une différence potentielle:</t>
  </si>
  <si>
    <t>-&gt; Dans le cas de comparaison de valeurs moyennes, estimation de l'effectif minimal "n" des lots expérimentaux à utiliser pour significativement détecter une différence potentielle:</t>
  </si>
  <si>
    <t>Cet effectif minimal peut-être remplacé par le même nombre de répétitions de valeurs mesurées à réaliser dans les cas où il n'est pas ou plus possible d'agir sur l'échantillonnage.</t>
  </si>
  <si>
    <t>Effectif minimal "n" pour la comparaison de deux valeurs moyennes issues du même lot expérimental (schéma en données appariées):</t>
  </si>
  <si>
    <t>valeur de l'échantillon de contrôle</t>
  </si>
  <si>
    <t>limite de surveillance supérieure</t>
  </si>
  <si>
    <t>limite de contrôle supérieure</t>
  </si>
  <si>
    <t xml:space="preserve">limite de surveillance inférieure </t>
  </si>
  <si>
    <t>cellule à remplir</t>
  </si>
  <si>
    <t>Pour les méthodes d'analyse présentant un biais de mesure, les futures valeurs mesurées de l'échantillons de contrôle, seront repportées sur la carte de contrôle corrigées du biais de mesure.</t>
  </si>
  <si>
    <t>limite de contrôle inférieure</t>
  </si>
  <si>
    <t>Calcul des valeurs des limites à reporter sur une carte de contrôle</t>
  </si>
  <si>
    <t xml:space="preserve">Position de la valeur mesurée </t>
  </si>
  <si>
    <t>Entre les limites de surveillance </t>
  </si>
  <si>
    <t>la méthode fonctionne normalement </t>
  </si>
  <si>
    <t>Observation</t>
  </si>
  <si>
    <t>Actions à réaliser</t>
  </si>
  <si>
    <t>Les valeurs mesurées des échantillons du dosage peuvent être utilisées </t>
  </si>
  <si>
    <t>la méthode fonctionne normalement, mais est à surveiller (dérive possible)</t>
  </si>
  <si>
    <t>Au-delà des limites de contrôle</t>
  </si>
  <si>
    <t>Entre les limites de surveillance et de contrôle</t>
  </si>
  <si>
    <r>
      <rPr>
        <b/>
        <u/>
        <sz val="12"/>
        <rFont val="Verdana"/>
        <family val="2"/>
      </rPr>
      <t>Rappel:</t>
    </r>
    <r>
      <rPr>
        <b/>
        <sz val="12"/>
        <rFont val="Verdana"/>
        <family val="2"/>
      </rPr>
      <t xml:space="preserve"> une carte de contrôle sert à vérifier statistiquement le fonctionnement normal de la méthode d'analyse dans le temps.</t>
    </r>
  </si>
  <si>
    <t>valeur de l'échantillon de contrôle :</t>
  </si>
  <si>
    <t>Interprétation d'une carte de contrôle</t>
  </si>
  <si>
    <t>La méthode n'a pas un fonctionnement normal. Il faut identifier et traiter la cause du dysfonctionnement.</t>
  </si>
  <si>
    <t>Les valeurs mesurées des échantillons du dosage ne peuvent pas être utilisées. Elles doivent être redosées lorsque la méthode d'analyse aura retrouvé un mode de fonctionnement normal, validé par la valeur de l'échantillon de contrôle. </t>
  </si>
  <si>
    <t>Dans l'idéal, utiliser 3 échantillons de contrôle dont les valeurs permettent de couvrir et de vérifier le bon fonctionnement de la méthode d'analyse sur tout le domaine de validation.</t>
  </si>
  <si>
    <t>valeurs à reporter</t>
  </si>
  <si>
    <t>3 interprétations possibles d'après la position de la valeur mesurée de l'échantillon de contrôle obtenue lors d'un dosage en routine:</t>
  </si>
  <si>
    <t>https://qualite.intranet.inrae.fr/outils/m3-mesures-metrologie-et-validation-de-methodes</t>
  </si>
  <si>
    <t>Lien pour télécharger une carte de contrôle vierge:</t>
  </si>
  <si>
    <t>https://novae.hub.inrae.fr/les-articles-parus/les-n-reguliers/2019/art3-ct96-2019</t>
  </si>
  <si>
    <t>Lien accès article NOVAE "seuil de discrimination" et 'effectif minimal"</t>
  </si>
  <si>
    <t>qualite-m3@inrae.fr</t>
  </si>
  <si>
    <t>Pour obtenir la norme contacter:</t>
  </si>
  <si>
    <r>
      <rPr>
        <u/>
        <sz val="9"/>
        <rFont val="Verdana"/>
        <family val="2"/>
      </rPr>
      <t>Cet outil de calcul suit la norme :</t>
    </r>
    <r>
      <rPr>
        <sz val="9"/>
        <rFont val="Verdana"/>
        <family val="2"/>
      </rPr>
      <t xml:space="preserve"> NF V03-110 "Protocole de caractérisation en vue de la validation d'une méthode d'analyse quantitative par construction du profil d'exactitude" </t>
    </r>
  </si>
  <si>
    <t>incertitude élargie:</t>
  </si>
  <si>
    <t xml:space="preserve">et </t>
  </si>
  <si>
    <t xml:space="preserve"> soit en %</t>
  </si>
  <si>
    <t>%</t>
  </si>
  <si>
    <t>nombre de répétitions de mesure à réaliser pour atteindre cet intervalle de confiance</t>
  </si>
  <si>
    <t>soit en %</t>
  </si>
  <si>
    <t>soit valeur réelle du mesurande comprise à 95% entre</t>
  </si>
  <si>
    <t>intervalle de confiance à 95 % souhaité pour exprimer cette valeur mesurée moyennée:</t>
  </si>
  <si>
    <t xml:space="preserve"> tel que mesurée dans les conditions de validation</t>
  </si>
  <si>
    <t xml:space="preserve"> tel que mesurée dans les conditions de répétitions de mesure estimés</t>
  </si>
  <si>
    <t xml:space="preserve">soit valeur moyenne réelle du mesurande comprise à 95% entre </t>
  </si>
  <si>
    <t xml:space="preserve">3-Estimation du nombre de répétitions de mesures à réaliser, pour atteindre un intervalle de confiance (en %) souhaité de la valeur moyenne d'une valeur mesurée : </t>
  </si>
  <si>
    <t xml:space="preserve">L'effectif minimal est déterminé pour pallier le "défaut" de dispersion de la méthode analytique. </t>
  </si>
  <si>
    <r>
      <rPr>
        <b/>
        <u/>
        <sz val="10"/>
        <rFont val="Verdana"/>
        <family val="2"/>
      </rPr>
      <t>Remarques/précisions:</t>
    </r>
    <r>
      <rPr>
        <b/>
        <sz val="10"/>
        <rFont val="Verdana"/>
        <family val="2"/>
      </rPr>
      <t xml:space="preserve"> </t>
    </r>
  </si>
  <si>
    <t>Informations générales sur la méthode d'analyse:</t>
  </si>
  <si>
    <t>principe analytique:</t>
  </si>
  <si>
    <t>Version de la validation:</t>
  </si>
  <si>
    <t>référence du mode opératoire:</t>
  </si>
  <si>
    <t>mesurande:</t>
  </si>
  <si>
    <t>finalité de la mesure du mesurande:</t>
  </si>
  <si>
    <t>nom de la méthode d'analyse:</t>
  </si>
  <si>
    <t>Informations sur les conditions de validation de la méthode d'analyse:</t>
  </si>
  <si>
    <r>
      <t xml:space="preserve">limite de tolérance (niveau du risque béta </t>
    </r>
    <r>
      <rPr>
        <sz val="9"/>
        <rFont val="Symbol"/>
        <family val="1"/>
        <charset val="2"/>
      </rPr>
      <t>b</t>
    </r>
    <r>
      <rPr>
        <sz val="9"/>
        <rFont val="Verdana"/>
        <family val="2"/>
      </rPr>
      <t>) :</t>
    </r>
  </si>
  <si>
    <t>amplitude naturelle des valeurs à mesurer:</t>
  </si>
  <si>
    <t>unité:</t>
  </si>
  <si>
    <r>
      <t>limites d'acceptabilité  (±</t>
    </r>
    <r>
      <rPr>
        <sz val="9"/>
        <rFont val="Symbol"/>
        <family val="1"/>
        <charset val="2"/>
      </rPr>
      <t xml:space="preserve">l </t>
    </r>
    <r>
      <rPr>
        <sz val="9"/>
        <rFont val="Verdana"/>
        <family val="2"/>
      </rPr>
      <t>exprimée en %</t>
    </r>
    <r>
      <rPr>
        <sz val="9"/>
        <rFont val="Symbol"/>
        <family val="1"/>
        <charset val="2"/>
      </rPr>
      <t>)</t>
    </r>
    <r>
      <rPr>
        <sz val="9"/>
        <rFont val="Verdana"/>
        <family val="2"/>
      </rPr>
      <t>:</t>
    </r>
  </si>
  <si>
    <t>amplitude de la gamme étalon:</t>
  </si>
  <si>
    <t>modèle de la gamme étalon:</t>
  </si>
  <si>
    <t>échantillons de validation (mrc, ajouts dosés, dilutions …):</t>
  </si>
  <si>
    <t>noter dans la cellule voisine l'unité pour les volumes (µl, ml …)</t>
  </si>
  <si>
    <t>cellules à renseigner</t>
  </si>
  <si>
    <t>noter dans la cellule voisine l'unité pour les teneurs (ng/ml, mg/l …)</t>
  </si>
  <si>
    <t>pg/ml</t>
  </si>
  <si>
    <t>nb de séries prévues dans le plan de validation</t>
  </si>
  <si>
    <t xml:space="preserve">valeurs à utiliser </t>
  </si>
  <si>
    <t>nb de répétitions prévues dans le plan de validation</t>
  </si>
  <si>
    <t>volume de la prise d'essai des échantillons dans le dosage à valider</t>
  </si>
  <si>
    <t>% mini de matrice à conserver suite à l'ajout de surcharge (= dilution mini de l'échantillon surchargé)</t>
  </si>
  <si>
    <t>niveau 0 surcharge (à réaliser obligatoirement)</t>
  </si>
  <si>
    <t>niveau 1</t>
  </si>
  <si>
    <t>niveau 2</t>
  </si>
  <si>
    <t>niveau 3</t>
  </si>
  <si>
    <t>niveau 4</t>
  </si>
  <si>
    <t>niveau 5</t>
  </si>
  <si>
    <t>niveau 6</t>
  </si>
  <si>
    <t>niveau 7</t>
  </si>
  <si>
    <t>volume total nécessaire d'échantillon de validation avant surcharge</t>
  </si>
  <si>
    <t>volume d'échantillon de validation à utiliser par niveau en</t>
  </si>
  <si>
    <t>Informations sur les résultats de la validation de la méthode d'analyse:</t>
  </si>
  <si>
    <t>valeur de a:</t>
  </si>
  <si>
    <t>valeur de b:</t>
  </si>
  <si>
    <t>puissance:</t>
  </si>
  <si>
    <t>constante:</t>
  </si>
  <si>
    <t>Date de la validation (ou période):</t>
  </si>
  <si>
    <t>Tableau de calcul pour la préparation des échantillons de validation avec ajouts dosés :</t>
  </si>
  <si>
    <r>
      <t xml:space="preserve">noter le volume </t>
    </r>
    <r>
      <rPr>
        <sz val="8"/>
        <color rgb="FFFF0000"/>
        <rFont val="Calibri"/>
        <family val="2"/>
        <scheme val="minor"/>
      </rPr>
      <t>réel</t>
    </r>
    <r>
      <rPr>
        <sz val="8"/>
        <color theme="1"/>
        <rFont val="Calibri"/>
        <family val="2"/>
        <scheme val="minor"/>
      </rPr>
      <t xml:space="preserve"> d'échantillon dopé à préparer par niveau (d'après volume </t>
    </r>
    <r>
      <rPr>
        <sz val="8"/>
        <color rgb="FFFF0000"/>
        <rFont val="Calibri"/>
        <family val="2"/>
        <scheme val="minor"/>
      </rPr>
      <t>théorique à majorer</t>
    </r>
    <r>
      <rPr>
        <sz val="8"/>
        <color theme="1"/>
        <rFont val="Calibri"/>
        <family val="2"/>
        <scheme val="minor"/>
      </rPr>
      <t>) en</t>
    </r>
  </si>
  <si>
    <t>volume de solution de dopage à ajouter en</t>
  </si>
  <si>
    <t>concentration de la solution de dopage par niveau en</t>
  </si>
  <si>
    <t>valeur de l'ajout en</t>
  </si>
  <si>
    <r>
      <t xml:space="preserve">volume </t>
    </r>
    <r>
      <rPr>
        <sz val="8"/>
        <color rgb="FFFF0000"/>
        <rFont val="Calibri"/>
        <family val="2"/>
        <scheme val="minor"/>
      </rPr>
      <t>théorique</t>
    </r>
    <r>
      <rPr>
        <sz val="8"/>
        <color theme="1"/>
        <rFont val="Calibri"/>
        <family val="2"/>
        <scheme val="minor"/>
      </rPr>
      <t xml:space="preserve"> d'échantillon de validation dopé nécessaire pour un niveau pour l'ensemble de la validation</t>
    </r>
  </si>
  <si>
    <t>la méthode sur ce fichier est-elle corrigée du biais :</t>
  </si>
  <si>
    <t>nom du fichier de validation de la méthode avant correction du biais:</t>
  </si>
  <si>
    <t>validité de la méthode sur l'amplitude complète des valeurs cibles :</t>
  </si>
  <si>
    <t>limite de quantification :</t>
  </si>
  <si>
    <t>dernière valeur à conserver basse</t>
  </si>
  <si>
    <t>dernière valeur à conserver haute</t>
  </si>
  <si>
    <t>LOQ</t>
  </si>
  <si>
    <t>modèle du biais de la méthode sur ce fichier (y=ax+b):</t>
  </si>
  <si>
    <t xml:space="preserve">modèle de l'incertitude élargie (U = constanteXpuissance): </t>
  </si>
  <si>
    <t>matrice(s) biologique(s):</t>
  </si>
  <si>
    <t>5) Lorsque la méthode d'analyse présente un biais qu'il faut corriger, il faut créer un autre classeur dit "corrigé" et remplir les feuilles Niveau avec les valeurs corrigées du biais de mesure avec la correction appropriée.</t>
  </si>
  <si>
    <t>6) Les feuilles "expression résultat mesure" et "discrimination et effectif mini" ne sont à utiliser que si la méthode d'analyse ne présente pas de biais ou si les feuilles Niveau sont remplies avec des valeurs corrigées du biais.</t>
  </si>
  <si>
    <t>Limite haute domaine de validité</t>
  </si>
  <si>
    <t>limite haute domaine validité</t>
  </si>
  <si>
    <t>valeur basse :</t>
  </si>
  <si>
    <t>valeur haute :</t>
  </si>
  <si>
    <t>dernière valeur de cible</t>
  </si>
  <si>
    <t>Domaine de validité de la méthode d'analyse :</t>
  </si>
  <si>
    <t>validité de la méthode:</t>
  </si>
  <si>
    <t>nd</t>
  </si>
  <si>
    <t>valeurs de référence:</t>
  </si>
  <si>
    <t>matériels/instruments utilisés:</t>
  </si>
  <si>
    <r>
      <t>Cet effectif est estimé à titre indicatif, à partir de valeurs pour le niveau de confiance 1-</t>
    </r>
    <r>
      <rPr>
        <b/>
        <sz val="10"/>
        <rFont val="Calibri"/>
        <family val="2"/>
      </rPr>
      <t>α</t>
    </r>
    <r>
      <rPr>
        <b/>
        <sz val="10"/>
        <rFont val="Verdana"/>
        <family val="2"/>
      </rPr>
      <t xml:space="preserve"> et de puissance 1-</t>
    </r>
    <r>
      <rPr>
        <b/>
        <sz val="10"/>
        <rFont val="Calibri"/>
        <family val="2"/>
      </rPr>
      <t>β</t>
    </r>
    <r>
      <rPr>
        <b/>
        <sz val="10"/>
        <rFont val="Verdana"/>
        <family val="2"/>
      </rPr>
      <t xml:space="preserve"> fixés à 95% correspondants à des quantiles de la loi normale standardisée Z</t>
    </r>
    <r>
      <rPr>
        <b/>
        <vertAlign val="subscript"/>
        <sz val="10"/>
        <rFont val="Cambria"/>
        <family val="1"/>
      </rPr>
      <t>1-α</t>
    </r>
    <r>
      <rPr>
        <b/>
        <sz val="10"/>
        <rFont val="Verdana"/>
        <family val="2"/>
      </rPr>
      <t xml:space="preserve"> et Z</t>
    </r>
    <r>
      <rPr>
        <b/>
        <vertAlign val="subscript"/>
        <sz val="10"/>
        <rFont val="Cambria"/>
        <family val="1"/>
      </rPr>
      <t>1-β</t>
    </r>
    <r>
      <rPr>
        <b/>
        <sz val="10"/>
        <rFont val="Calibri"/>
        <family val="2"/>
      </rPr>
      <t xml:space="preserve"> </t>
    </r>
    <r>
      <rPr>
        <b/>
        <sz val="10"/>
        <rFont val="Verdana"/>
        <family val="2"/>
      </rPr>
      <t>équivalents à 1.96.</t>
    </r>
  </si>
  <si>
    <t>(la valeur mesurée correspond à la valeur rentrée dans une cellule des feuilles de niveau, qui peut-être une valeur mesurée simple ou la moyenne de 2, 3, voire plus, répétitions techniques)</t>
  </si>
  <si>
    <t>les valeurs mesurées sont obtenues à partir de combien de répétitions techniques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</si>
</sst>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0000"/>
    <numFmt numFmtId="165" formatCode="0.000"/>
    <numFmt numFmtId="166" formatCode="0.0000000"/>
  </numFmts>
  <fonts count="55" x14ac:knownFonts="1">
    <font>
      <sz val="9"/>
      <name val="Verdana"/>
      <family val="2"/>
    </font>
    <font>
      <sz val="8"/>
      <name val="Arial"/>
      <family val="2"/>
    </font>
    <font>
      <sz val="8"/>
      <name val="Tahoma"/>
      <family val="2"/>
    </font>
    <font>
      <sz val="9"/>
      <color indexed="12"/>
      <name val="Arial"/>
      <family val="2"/>
    </font>
    <font>
      <sz val="8"/>
      <name val="Verdana"/>
      <family val="2"/>
    </font>
    <font>
      <b/>
      <sz val="9"/>
      <name val="Verdana"/>
      <family val="2"/>
    </font>
    <font>
      <sz val="8"/>
      <color indexed="12"/>
      <name val="Verdana"/>
      <family val="2"/>
    </font>
    <font>
      <sz val="8"/>
      <color indexed="20"/>
      <name val="Verdana"/>
      <family val="2"/>
    </font>
    <font>
      <sz val="8"/>
      <color indexed="23"/>
      <name val="Verdana"/>
      <family val="2"/>
    </font>
    <font>
      <sz val="9"/>
      <name val="Arial"/>
      <family val="2"/>
    </font>
    <font>
      <sz val="9"/>
      <name val="Verdana"/>
      <family val="2"/>
    </font>
    <font>
      <b/>
      <sz val="9"/>
      <color theme="0" tint="-0.499984740745262"/>
      <name val="Verdana"/>
      <family val="2"/>
    </font>
    <font>
      <sz val="9"/>
      <color theme="0" tint="-0.249977111117893"/>
      <name val="Verdana"/>
      <family val="2"/>
    </font>
    <font>
      <sz val="9"/>
      <color theme="0" tint="-0.499984740745262"/>
      <name val="Verdana"/>
      <family val="2"/>
    </font>
    <font>
      <b/>
      <sz val="14"/>
      <name val="Verdana"/>
      <family val="2"/>
    </font>
    <font>
      <b/>
      <sz val="11"/>
      <color theme="1"/>
      <name val="Calibri"/>
      <family val="2"/>
      <scheme val="minor"/>
    </font>
    <font>
      <b/>
      <i/>
      <sz val="9"/>
      <name val="Verdana"/>
      <family val="2"/>
    </font>
    <font>
      <b/>
      <u/>
      <sz val="9"/>
      <name val="Verdana"/>
      <family val="2"/>
    </font>
    <font>
      <b/>
      <vertAlign val="superscript"/>
      <sz val="11"/>
      <color theme="1"/>
      <name val="Calibri"/>
      <family val="2"/>
      <scheme val="minor"/>
    </font>
    <font>
      <b/>
      <sz val="11"/>
      <color rgb="FF000000"/>
      <name val="Calibri"/>
      <family val="2"/>
      <scheme val="minor"/>
    </font>
    <font>
      <i/>
      <sz val="9"/>
      <name val="Verdana"/>
      <family val="2"/>
    </font>
    <font>
      <sz val="9"/>
      <color rgb="FFFF0000"/>
      <name val="Verdana"/>
      <family val="2"/>
    </font>
    <font>
      <sz val="9"/>
      <color theme="0"/>
      <name val="Verdana"/>
      <family val="2"/>
    </font>
    <font>
      <sz val="9"/>
      <name val="Calibri"/>
      <family val="2"/>
    </font>
    <font>
      <b/>
      <sz val="9"/>
      <color rgb="FFFF0000"/>
      <name val="Verdana"/>
      <family val="2"/>
    </font>
    <font>
      <b/>
      <u/>
      <sz val="12"/>
      <name val="Verdana"/>
      <family val="2"/>
    </font>
    <font>
      <b/>
      <sz val="10"/>
      <name val="Verdana"/>
      <family val="2"/>
    </font>
    <font>
      <b/>
      <u/>
      <sz val="14"/>
      <name val="Verdana"/>
      <family val="2"/>
    </font>
    <font>
      <b/>
      <u/>
      <sz val="14"/>
      <color theme="1"/>
      <name val="Verdana"/>
      <family val="2"/>
    </font>
    <font>
      <b/>
      <sz val="11"/>
      <name val="Verdana"/>
      <family val="2"/>
    </font>
    <font>
      <sz val="11"/>
      <name val="Verdana"/>
      <family val="2"/>
    </font>
    <font>
      <b/>
      <u/>
      <sz val="10"/>
      <name val="Verdana"/>
      <family val="2"/>
    </font>
    <font>
      <b/>
      <sz val="12"/>
      <name val="Verdana"/>
      <family val="2"/>
    </font>
    <font>
      <b/>
      <sz val="11"/>
      <color rgb="FFFF0000"/>
      <name val="Verdana"/>
      <family val="2"/>
    </font>
    <font>
      <sz val="9"/>
      <color rgb="FF008000"/>
      <name val="Arial"/>
      <family val="2"/>
    </font>
    <font>
      <sz val="9"/>
      <color rgb="FF0000FF"/>
      <name val="Arial"/>
      <family val="2"/>
    </font>
    <font>
      <sz val="9"/>
      <color rgb="FFFF0000"/>
      <name val="Arial"/>
      <family val="2"/>
    </font>
    <font>
      <b/>
      <sz val="11"/>
      <color rgb="FF008000"/>
      <name val="Verdana"/>
      <family val="2"/>
    </font>
    <font>
      <b/>
      <sz val="11"/>
      <color rgb="FF0000FF"/>
      <name val="Verdana"/>
      <family val="2"/>
    </font>
    <font>
      <b/>
      <u/>
      <sz val="12"/>
      <color theme="9" tint="-0.499984740745262"/>
      <name val="Verdana"/>
      <family val="2"/>
    </font>
    <font>
      <u/>
      <sz val="9"/>
      <color theme="10"/>
      <name val="Verdana"/>
      <family val="2"/>
    </font>
    <font>
      <u/>
      <sz val="9"/>
      <name val="Verdana"/>
      <family val="2"/>
    </font>
    <font>
      <sz val="4"/>
      <name val="Verdana"/>
      <family val="2"/>
    </font>
    <font>
      <b/>
      <sz val="11"/>
      <name val="Calibri"/>
      <family val="2"/>
      <scheme val="minor"/>
    </font>
    <font>
      <b/>
      <sz val="10"/>
      <name val="Calibri"/>
      <family val="2"/>
    </font>
    <font>
      <b/>
      <vertAlign val="subscript"/>
      <sz val="10"/>
      <name val="Cambria"/>
      <family val="1"/>
    </font>
    <font>
      <sz val="9"/>
      <name val="Symbol"/>
      <family val="1"/>
      <charset val="2"/>
    </font>
    <font>
      <sz val="8"/>
      <color theme="1"/>
      <name val="Calibri"/>
      <family val="2"/>
      <scheme val="minor"/>
    </font>
    <font>
      <sz val="8"/>
      <color rgb="FFFF0000"/>
      <name val="Calibri"/>
      <family val="2"/>
      <scheme val="minor"/>
    </font>
    <font>
      <sz val="7"/>
      <color theme="1"/>
      <name val="Calibri"/>
      <family val="2"/>
      <scheme val="minor"/>
    </font>
    <font>
      <sz val="10"/>
      <color theme="1"/>
      <name val="Calibri"/>
      <family val="2"/>
      <scheme val="minor"/>
    </font>
    <font>
      <sz val="9"/>
      <color rgb="FF00B050"/>
      <name val="Verdana"/>
      <family val="2"/>
    </font>
    <font>
      <sz val="12"/>
      <color rgb="FF00B050"/>
      <name val="Verdana"/>
      <family val="2"/>
    </font>
    <font>
      <sz val="10"/>
      <color rgb="FF00B050"/>
      <name val="Verdana"/>
      <family val="2"/>
    </font>
    <font>
      <sz val="9"/>
      <color theme="0" tint="-0.14999847407452621"/>
      <name val="Verdana"/>
      <family val="2"/>
    </font>
  </fonts>
  <fills count="15">
    <fill>
      <patternFill patternType="none"/>
    </fill>
    <fill>
      <patternFill patternType="gray125"/>
    </fill>
    <fill>
      <patternFill patternType="solid">
        <fgColor indexed="22"/>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theme="8" tint="0.59999389629810485"/>
        <bgColor indexed="64"/>
      </patternFill>
    </fill>
    <fill>
      <patternFill patternType="solid">
        <fgColor theme="6" tint="0.39997558519241921"/>
        <bgColor indexed="64"/>
      </patternFill>
    </fill>
    <fill>
      <patternFill patternType="solid">
        <fgColor indexed="41"/>
        <bgColor indexed="41"/>
      </patternFill>
    </fill>
    <fill>
      <patternFill patternType="solid">
        <fgColor theme="9" tint="0.59999389629810485"/>
        <bgColor indexed="64"/>
      </patternFill>
    </fill>
    <fill>
      <patternFill patternType="solid">
        <fgColor rgb="FFFFFF00"/>
        <bgColor indexed="64"/>
      </patternFill>
    </fill>
    <fill>
      <gradientFill degree="90">
        <stop position="0">
          <color theme="2" tint="-9.8025452436902985E-2"/>
        </stop>
        <stop position="1">
          <color theme="2" tint="-0.25098422193060094"/>
        </stop>
      </gradientFill>
    </fill>
    <fill>
      <patternFill patternType="solid">
        <fgColor theme="0"/>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theme="0" tint="-0.499984740745262"/>
        <bgColor indexed="64"/>
      </patternFill>
    </fill>
  </fills>
  <borders count="39">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right/>
      <top style="hair">
        <color auto="1"/>
      </top>
      <bottom style="hair">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s>
  <cellStyleXfs count="7">
    <xf numFmtId="0" fontId="0" fillId="3" borderId="0"/>
    <xf numFmtId="0" fontId="7" fillId="2" borderId="0"/>
    <xf numFmtId="10" fontId="10" fillId="4" borderId="0" applyAlignment="0"/>
    <xf numFmtId="9" fontId="10" fillId="0" borderId="1">
      <alignment horizontal="right"/>
      <protection locked="0"/>
    </xf>
    <xf numFmtId="0" fontId="5" fillId="10" borderId="7"/>
    <xf numFmtId="0" fontId="9" fillId="7" borderId="0"/>
    <xf numFmtId="0" fontId="40" fillId="3" borderId="0" applyNumberFormat="0" applyFill="0" applyBorder="0" applyAlignment="0" applyProtection="0"/>
  </cellStyleXfs>
  <cellXfs count="286">
    <xf numFmtId="0" fontId="0" fillId="3" borderId="0" xfId="0"/>
    <xf numFmtId="164" fontId="0" fillId="3" borderId="0" xfId="0" applyNumberFormat="1"/>
    <xf numFmtId="0" fontId="5" fillId="10" borderId="7" xfId="4"/>
    <xf numFmtId="165" fontId="0" fillId="3" borderId="0" xfId="0" applyNumberFormat="1"/>
    <xf numFmtId="164" fontId="5" fillId="10" borderId="7" xfId="4" applyNumberFormat="1"/>
    <xf numFmtId="0" fontId="3" fillId="3" borderId="0" xfId="0" applyFont="1"/>
    <xf numFmtId="0" fontId="0" fillId="3" borderId="0" xfId="0" applyAlignment="1">
      <alignment wrapText="1"/>
    </xf>
    <xf numFmtId="1" fontId="0" fillId="3" borderId="0" xfId="0" applyNumberFormat="1"/>
    <xf numFmtId="166" fontId="0" fillId="3" borderId="0" xfId="0" applyNumberFormat="1"/>
    <xf numFmtId="166" fontId="5" fillId="10" borderId="7" xfId="4" applyNumberFormat="1"/>
    <xf numFmtId="0" fontId="0" fillId="3" borderId="2" xfId="0" applyBorder="1"/>
    <xf numFmtId="10" fontId="6" fillId="3" borderId="0" xfId="0" applyNumberFormat="1" applyFont="1"/>
    <xf numFmtId="0" fontId="8" fillId="3" borderId="0" xfId="0" applyFont="1"/>
    <xf numFmtId="0" fontId="9" fillId="3" borderId="0" xfId="0" applyFont="1"/>
    <xf numFmtId="10" fontId="0" fillId="4" borderId="0" xfId="2" applyFont="1"/>
    <xf numFmtId="165" fontId="0" fillId="3" borderId="2" xfId="0" applyNumberFormat="1" applyBorder="1"/>
    <xf numFmtId="10" fontId="10" fillId="4" borderId="0" xfId="2"/>
    <xf numFmtId="0" fontId="0" fillId="6" borderId="2" xfId="0" applyFill="1" applyBorder="1"/>
    <xf numFmtId="165" fontId="0" fillId="6" borderId="2" xfId="0" applyNumberFormat="1" applyFill="1" applyBorder="1"/>
    <xf numFmtId="10" fontId="10" fillId="6" borderId="2" xfId="2" applyFill="1" applyBorder="1"/>
    <xf numFmtId="2" fontId="0" fillId="5" borderId="2" xfId="0" applyNumberFormat="1" applyFill="1" applyBorder="1"/>
    <xf numFmtId="10" fontId="10" fillId="5" borderId="2" xfId="2" applyFill="1" applyBorder="1"/>
    <xf numFmtId="2" fontId="0" fillId="6" borderId="2" xfId="0" applyNumberFormat="1" applyFill="1" applyBorder="1"/>
    <xf numFmtId="0" fontId="10" fillId="0" borderId="1" xfId="3" applyNumberFormat="1">
      <alignment horizontal="right"/>
      <protection locked="0"/>
    </xf>
    <xf numFmtId="0" fontId="4" fillId="0" borderId="1" xfId="3" applyNumberFormat="1" applyFont="1">
      <alignment horizontal="right"/>
      <protection locked="0"/>
    </xf>
    <xf numFmtId="10" fontId="0" fillId="3" borderId="0" xfId="0" applyNumberFormat="1"/>
    <xf numFmtId="0" fontId="11" fillId="10" borderId="7" xfId="4" applyFont="1"/>
    <xf numFmtId="2" fontId="0" fillId="3" borderId="2" xfId="0" applyNumberFormat="1" applyBorder="1"/>
    <xf numFmtId="10" fontId="10" fillId="4" borderId="2" xfId="2" applyBorder="1"/>
    <xf numFmtId="164" fontId="12" fillId="3" borderId="0" xfId="0" applyNumberFormat="1" applyFont="1"/>
    <xf numFmtId="0" fontId="12" fillId="3" borderId="0" xfId="0" applyFont="1"/>
    <xf numFmtId="0" fontId="0" fillId="3" borderId="0" xfId="0" applyAlignment="1">
      <alignment vertical="top"/>
    </xf>
    <xf numFmtId="0" fontId="5" fillId="10" borderId="2" xfId="4" applyBorder="1"/>
    <xf numFmtId="10" fontId="0" fillId="3" borderId="2" xfId="0" applyNumberFormat="1" applyBorder="1"/>
    <xf numFmtId="165" fontId="5" fillId="10" borderId="7" xfId="4" applyNumberFormat="1"/>
    <xf numFmtId="10" fontId="13" fillId="3" borderId="2" xfId="0" applyNumberFormat="1" applyFont="1" applyBorder="1"/>
    <xf numFmtId="165" fontId="13" fillId="3" borderId="2" xfId="0" applyNumberFormat="1" applyFont="1" applyBorder="1"/>
    <xf numFmtId="0" fontId="0" fillId="8" borderId="2" xfId="0" applyFill="1" applyBorder="1"/>
    <xf numFmtId="165" fontId="0" fillId="8" borderId="2" xfId="0" applyNumberFormat="1" applyFill="1" applyBorder="1"/>
    <xf numFmtId="165" fontId="10" fillId="0" borderId="1" xfId="3" applyNumberFormat="1">
      <alignment horizontal="right"/>
      <protection locked="0"/>
    </xf>
    <xf numFmtId="10" fontId="10" fillId="8" borderId="5" xfId="2" applyFill="1" applyBorder="1"/>
    <xf numFmtId="0" fontId="0" fillId="9" borderId="2" xfId="0" applyFill="1" applyBorder="1"/>
    <xf numFmtId="9" fontId="10" fillId="0" borderId="6" xfId="3" applyBorder="1">
      <alignment horizontal="right"/>
      <protection locked="0"/>
    </xf>
    <xf numFmtId="0" fontId="0" fillId="3" borderId="0" xfId="0" applyAlignment="1">
      <alignment vertical="top" wrapText="1"/>
    </xf>
    <xf numFmtId="165" fontId="10" fillId="0" borderId="0" xfId="3" applyNumberFormat="1" applyBorder="1">
      <alignment horizontal="right"/>
      <protection locked="0"/>
    </xf>
    <xf numFmtId="0" fontId="0" fillId="0" borderId="0" xfId="0" applyFill="1" applyProtection="1">
      <protection locked="0"/>
    </xf>
    <xf numFmtId="0" fontId="5" fillId="3" borderId="0" xfId="0" applyFont="1"/>
    <xf numFmtId="0" fontId="0" fillId="4" borderId="0" xfId="0" applyFill="1"/>
    <xf numFmtId="2" fontId="0" fillId="3" borderId="0" xfId="0" applyNumberFormat="1"/>
    <xf numFmtId="0" fontId="5" fillId="3" borderId="0" xfId="0" applyFont="1" applyAlignment="1">
      <alignment horizontal="center"/>
    </xf>
    <xf numFmtId="0" fontId="5" fillId="4" borderId="0" xfId="0" applyFont="1" applyFill="1" applyAlignment="1">
      <alignment horizontal="center"/>
    </xf>
    <xf numFmtId="2" fontId="0" fillId="3" borderId="0" xfId="0" applyNumberFormat="1" applyAlignment="1">
      <alignment horizontal="center"/>
    </xf>
    <xf numFmtId="2" fontId="0" fillId="4" borderId="0" xfId="0" applyNumberFormat="1" applyFill="1" applyAlignment="1">
      <alignment horizontal="center"/>
    </xf>
    <xf numFmtId="0" fontId="14" fillId="3" borderId="0" xfId="0" applyFont="1"/>
    <xf numFmtId="0" fontId="0" fillId="3" borderId="0" xfId="0" applyAlignment="1">
      <alignment horizontal="center" vertical="center" wrapText="1"/>
    </xf>
    <xf numFmtId="0" fontId="16" fillId="3" borderId="0" xfId="0" applyFont="1"/>
    <xf numFmtId="0" fontId="17" fillId="3" borderId="0" xfId="0" applyFont="1"/>
    <xf numFmtId="0" fontId="19" fillId="3" borderId="0" xfId="0" applyFont="1" applyAlignment="1">
      <alignment horizontal="center" vertical="center" wrapText="1"/>
    </xf>
    <xf numFmtId="2" fontId="0" fillId="9" borderId="0" xfId="0" applyNumberFormat="1" applyFill="1" applyAlignment="1">
      <alignment horizontal="center"/>
    </xf>
    <xf numFmtId="0" fontId="21" fillId="3" borderId="0" xfId="0" applyFont="1"/>
    <xf numFmtId="0" fontId="25" fillId="3" borderId="0" xfId="0" applyFont="1"/>
    <xf numFmtId="0" fontId="22" fillId="11" borderId="0" xfId="0" applyFont="1" applyFill="1" applyAlignment="1">
      <alignment horizontal="center"/>
    </xf>
    <xf numFmtId="0" fontId="0" fillId="9" borderId="0" xfId="0" applyFill="1" applyAlignment="1">
      <alignment horizontal="center"/>
    </xf>
    <xf numFmtId="0" fontId="5" fillId="3" borderId="21" xfId="0" applyFont="1" applyBorder="1"/>
    <xf numFmtId="0" fontId="0" fillId="11" borderId="0" xfId="0" applyFill="1" applyAlignment="1">
      <alignment horizontal="center"/>
    </xf>
    <xf numFmtId="2" fontId="30" fillId="3" borderId="0" xfId="0" applyNumberFormat="1" applyFont="1" applyAlignment="1">
      <alignment horizontal="center"/>
    </xf>
    <xf numFmtId="2" fontId="30" fillId="9" borderId="0" xfId="0" applyNumberFormat="1" applyFont="1" applyFill="1" applyAlignment="1">
      <alignment horizontal="center"/>
    </xf>
    <xf numFmtId="0" fontId="0" fillId="3" borderId="22" xfId="0" applyBorder="1"/>
    <xf numFmtId="0" fontId="0" fillId="3" borderId="23" xfId="0" applyBorder="1"/>
    <xf numFmtId="0" fontId="0" fillId="3" borderId="21" xfId="0" applyBorder="1"/>
    <xf numFmtId="0" fontId="28" fillId="3" borderId="24" xfId="0" applyFont="1" applyBorder="1"/>
    <xf numFmtId="0" fontId="0" fillId="3" borderId="25" xfId="0" applyBorder="1"/>
    <xf numFmtId="0" fontId="24" fillId="3" borderId="24" xfId="0" applyFont="1" applyBorder="1"/>
    <xf numFmtId="0" fontId="0" fillId="3" borderId="24" xfId="0" applyBorder="1"/>
    <xf numFmtId="0" fontId="15" fillId="3" borderId="0" xfId="0" applyFont="1" applyAlignment="1">
      <alignment horizontal="right"/>
    </xf>
    <xf numFmtId="10" fontId="10" fillId="4" borderId="0" xfId="2" applyAlignment="1">
      <alignment horizontal="center"/>
    </xf>
    <xf numFmtId="0" fontId="19" fillId="3" borderId="24" xfId="0" applyFont="1" applyBorder="1" applyAlignment="1">
      <alignment horizontal="center" vertical="center" wrapText="1"/>
    </xf>
    <xf numFmtId="2" fontId="30" fillId="3" borderId="24" xfId="0" applyNumberFormat="1" applyFont="1" applyBorder="1" applyAlignment="1">
      <alignment horizontal="center"/>
    </xf>
    <xf numFmtId="2" fontId="0" fillId="3" borderId="24" xfId="0" applyNumberFormat="1" applyBorder="1" applyAlignment="1">
      <alignment horizontal="center"/>
    </xf>
    <xf numFmtId="0" fontId="0" fillId="9" borderId="0" xfId="0" applyFill="1"/>
    <xf numFmtId="0" fontId="0" fillId="3" borderId="26" xfId="0" applyBorder="1"/>
    <xf numFmtId="0" fontId="0" fillId="3" borderId="27" xfId="0" applyBorder="1"/>
    <xf numFmtId="0" fontId="0" fillId="3" borderId="28" xfId="0" applyBorder="1"/>
    <xf numFmtId="49" fontId="28" fillId="3" borderId="24" xfId="0" applyNumberFormat="1" applyFont="1" applyBorder="1"/>
    <xf numFmtId="0" fontId="30" fillId="11" borderId="0" xfId="0" applyFont="1" applyFill="1" applyProtection="1">
      <protection locked="0"/>
    </xf>
    <xf numFmtId="2" fontId="30" fillId="3" borderId="0" xfId="0" applyNumberFormat="1" applyFont="1"/>
    <xf numFmtId="1" fontId="29" fillId="9" borderId="0" xfId="0" applyNumberFormat="1" applyFont="1" applyFill="1"/>
    <xf numFmtId="0" fontId="26" fillId="3" borderId="0" xfId="0" applyFont="1"/>
    <xf numFmtId="0" fontId="0" fillId="4" borderId="24" xfId="0" applyFill="1" applyBorder="1"/>
    <xf numFmtId="0" fontId="26" fillId="4" borderId="0" xfId="0" applyFont="1" applyFill="1" applyAlignment="1">
      <alignment horizontal="right"/>
    </xf>
    <xf numFmtId="0" fontId="0" fillId="12" borderId="22" xfId="0" applyFill="1" applyBorder="1"/>
    <xf numFmtId="0" fontId="0" fillId="12" borderId="23" xfId="0" applyFill="1" applyBorder="1"/>
    <xf numFmtId="0" fontId="0" fillId="12" borderId="21" xfId="0" applyFill="1" applyBorder="1"/>
    <xf numFmtId="0" fontId="28" fillId="12" borderId="24" xfId="0" applyFont="1" applyFill="1" applyBorder="1" applyAlignment="1">
      <alignment horizontal="left"/>
    </xf>
    <xf numFmtId="0" fontId="0" fillId="12" borderId="0" xfId="0" applyFill="1"/>
    <xf numFmtId="0" fontId="0" fillId="12" borderId="25" xfId="0" applyFill="1" applyBorder="1"/>
    <xf numFmtId="0" fontId="24" fillId="12" borderId="24" xfId="0" applyFont="1" applyFill="1" applyBorder="1"/>
    <xf numFmtId="0" fontId="0" fillId="12" borderId="24" xfId="0" applyFill="1" applyBorder="1"/>
    <xf numFmtId="0" fontId="15" fillId="12" borderId="0" xfId="0" applyFont="1" applyFill="1" applyAlignment="1">
      <alignment horizontal="right"/>
    </xf>
    <xf numFmtId="2" fontId="30" fillId="12" borderId="0" xfId="0" applyNumberFormat="1" applyFont="1" applyFill="1"/>
    <xf numFmtId="10" fontId="10" fillId="12" borderId="0" xfId="2" applyFill="1" applyAlignment="1">
      <alignment horizontal="center"/>
    </xf>
    <xf numFmtId="0" fontId="19" fillId="12" borderId="24" xfId="0" applyFont="1" applyFill="1" applyBorder="1" applyAlignment="1">
      <alignment horizontal="center" vertical="center" wrapText="1"/>
    </xf>
    <xf numFmtId="0" fontId="19" fillId="12" borderId="0" xfId="0" applyFont="1" applyFill="1" applyAlignment="1">
      <alignment horizontal="center" vertical="center" wrapText="1"/>
    </xf>
    <xf numFmtId="2" fontId="30" fillId="12" borderId="24" xfId="0" applyNumberFormat="1" applyFont="1" applyFill="1" applyBorder="1" applyAlignment="1">
      <alignment horizontal="center"/>
    </xf>
    <xf numFmtId="2" fontId="30" fillId="12" borderId="0" xfId="0" applyNumberFormat="1" applyFont="1" applyFill="1" applyAlignment="1">
      <alignment horizontal="center"/>
    </xf>
    <xf numFmtId="49" fontId="28" fillId="12" borderId="24" xfId="0" applyNumberFormat="1" applyFont="1" applyFill="1" applyBorder="1"/>
    <xf numFmtId="2" fontId="0" fillId="12" borderId="24" xfId="0" applyNumberFormat="1" applyFill="1" applyBorder="1" applyAlignment="1">
      <alignment horizontal="center"/>
    </xf>
    <xf numFmtId="2" fontId="0" fillId="12" borderId="0" xfId="0" applyNumberFormat="1" applyFill="1" applyAlignment="1">
      <alignment horizontal="center"/>
    </xf>
    <xf numFmtId="0" fontId="26" fillId="12" borderId="0" xfId="0" applyFont="1" applyFill="1" applyAlignment="1">
      <alignment horizontal="right"/>
    </xf>
    <xf numFmtId="0" fontId="0" fillId="12" borderId="26" xfId="0" applyFill="1" applyBorder="1"/>
    <xf numFmtId="0" fontId="0" fillId="12" borderId="27" xfId="0" applyFill="1" applyBorder="1"/>
    <xf numFmtId="0" fontId="0" fillId="12" borderId="28" xfId="0" applyFill="1" applyBorder="1"/>
    <xf numFmtId="0" fontId="27" fillId="3" borderId="24" xfId="0" applyFont="1" applyBorder="1"/>
    <xf numFmtId="0" fontId="15" fillId="3" borderId="0" xfId="0" applyFont="1"/>
    <xf numFmtId="0" fontId="15" fillId="3" borderId="24" xfId="0" applyFont="1" applyBorder="1" applyAlignment="1">
      <alignment horizontal="right"/>
    </xf>
    <xf numFmtId="0" fontId="0" fillId="11" borderId="0" xfId="0" applyFill="1" applyAlignment="1" applyProtection="1">
      <alignment horizontal="center"/>
      <protection locked="0"/>
    </xf>
    <xf numFmtId="0" fontId="15" fillId="3" borderId="0" xfId="0" applyFont="1" applyAlignment="1">
      <alignment horizontal="center"/>
    </xf>
    <xf numFmtId="0" fontId="0" fillId="4" borderId="0" xfId="0" applyFill="1" applyAlignment="1" applyProtection="1">
      <alignment horizontal="center"/>
      <protection locked="0"/>
    </xf>
    <xf numFmtId="0" fontId="26" fillId="3" borderId="24" xfId="0" applyFont="1" applyBorder="1"/>
    <xf numFmtId="0" fontId="12" fillId="4" borderId="0" xfId="0" applyFont="1" applyFill="1" applyAlignment="1" applyProtection="1">
      <alignment horizontal="center"/>
      <protection locked="0"/>
    </xf>
    <xf numFmtId="0" fontId="0" fillId="9" borderId="24" xfId="0" applyFill="1" applyBorder="1" applyAlignment="1">
      <alignment horizontal="right"/>
    </xf>
    <xf numFmtId="49" fontId="23" fillId="9" borderId="0" xfId="0" applyNumberFormat="1" applyFont="1" applyFill="1" applyAlignment="1">
      <alignment horizontal="right" vertical="center"/>
    </xf>
    <xf numFmtId="0" fontId="15" fillId="9" borderId="0" xfId="0" applyFont="1" applyFill="1" applyAlignment="1">
      <alignment horizontal="left"/>
    </xf>
    <xf numFmtId="0" fontId="0" fillId="3" borderId="0" xfId="0" applyAlignment="1">
      <alignment horizontal="center"/>
    </xf>
    <xf numFmtId="0" fontId="0" fillId="3" borderId="24" xfId="0" applyBorder="1" applyAlignment="1">
      <alignment horizontal="right"/>
    </xf>
    <xf numFmtId="0" fontId="15" fillId="3" borderId="0" xfId="0" applyFont="1" applyAlignment="1">
      <alignment horizontal="left"/>
    </xf>
    <xf numFmtId="0" fontId="27" fillId="12" borderId="24" xfId="0" applyFont="1" applyFill="1" applyBorder="1"/>
    <xf numFmtId="0" fontId="15" fillId="12" borderId="24" xfId="0" applyFont="1" applyFill="1" applyBorder="1"/>
    <xf numFmtId="0" fontId="15" fillId="12" borderId="0" xfId="0" applyFont="1" applyFill="1"/>
    <xf numFmtId="2" fontId="0" fillId="12" borderId="0" xfId="0" applyNumberFormat="1" applyFill="1"/>
    <xf numFmtId="0" fontId="15" fillId="12" borderId="24" xfId="0" applyFont="1" applyFill="1" applyBorder="1" applyAlignment="1">
      <alignment horizontal="right"/>
    </xf>
    <xf numFmtId="0" fontId="0" fillId="12" borderId="0" xfId="0" applyFill="1" applyAlignment="1" applyProtection="1">
      <alignment horizontal="center"/>
      <protection locked="0"/>
    </xf>
    <xf numFmtId="0" fontId="15" fillId="12" borderId="0" xfId="0" applyFont="1" applyFill="1" applyAlignment="1">
      <alignment horizontal="center"/>
    </xf>
    <xf numFmtId="0" fontId="26" fillId="12" borderId="24" xfId="0" applyFont="1" applyFill="1" applyBorder="1"/>
    <xf numFmtId="0" fontId="12" fillId="12" borderId="0" xfId="0" applyFont="1" applyFill="1" applyAlignment="1" applyProtection="1">
      <alignment horizontal="center"/>
      <protection locked="0"/>
    </xf>
    <xf numFmtId="0" fontId="0" fillId="12" borderId="24" xfId="0" applyFill="1" applyBorder="1" applyAlignment="1">
      <alignment horizontal="right"/>
    </xf>
    <xf numFmtId="0" fontId="15" fillId="12" borderId="0" xfId="0" applyFont="1" applyFill="1" applyAlignment="1">
      <alignment horizontal="left"/>
    </xf>
    <xf numFmtId="0" fontId="0" fillId="12" borderId="0" xfId="0" applyFill="1" applyAlignment="1">
      <alignment horizontal="center"/>
    </xf>
    <xf numFmtId="0" fontId="32" fillId="3" borderId="0" xfId="0" applyFont="1"/>
    <xf numFmtId="0" fontId="5" fillId="3" borderId="0" xfId="0" applyFont="1" applyAlignment="1">
      <alignment horizontal="right"/>
    </xf>
    <xf numFmtId="0" fontId="35" fillId="3" borderId="2" xfId="0" applyFont="1" applyBorder="1" applyAlignment="1">
      <alignment horizontal="center" vertical="center"/>
    </xf>
    <xf numFmtId="0" fontId="34" fillId="3" borderId="2" xfId="0" applyFont="1" applyBorder="1" applyAlignment="1">
      <alignment horizontal="center" vertical="center"/>
    </xf>
    <xf numFmtId="0" fontId="36" fillId="3" borderId="2" xfId="0" applyFont="1" applyBorder="1" applyAlignment="1">
      <alignment horizontal="center" vertical="center"/>
    </xf>
    <xf numFmtId="0" fontId="5" fillId="3" borderId="2" xfId="0" applyFont="1" applyBorder="1" applyAlignment="1">
      <alignment horizontal="center"/>
    </xf>
    <xf numFmtId="2" fontId="29" fillId="9" borderId="0" xfId="0" applyNumberFormat="1" applyFont="1" applyFill="1" applyAlignment="1">
      <alignment horizontal="center" vertical="center"/>
    </xf>
    <xf numFmtId="0" fontId="29" fillId="9" borderId="0" xfId="0" applyFont="1" applyFill="1" applyAlignment="1">
      <alignment horizontal="center" vertical="center"/>
    </xf>
    <xf numFmtId="0" fontId="33" fillId="3" borderId="0" xfId="0" applyFont="1" applyAlignment="1">
      <alignment horizontal="right" vertical="center"/>
    </xf>
    <xf numFmtId="0" fontId="37" fillId="3" borderId="0" xfId="0" applyFont="1" applyAlignment="1">
      <alignment horizontal="right" vertical="center"/>
    </xf>
    <xf numFmtId="0" fontId="38" fillId="3" borderId="0" xfId="0" applyFont="1" applyAlignment="1">
      <alignment horizontal="right" vertical="center"/>
    </xf>
    <xf numFmtId="0" fontId="5" fillId="0" borderId="0" xfId="0" applyFont="1" applyFill="1" applyAlignment="1" applyProtection="1">
      <alignment horizontal="center"/>
      <protection locked="0"/>
    </xf>
    <xf numFmtId="0" fontId="39" fillId="3" borderId="0" xfId="0" applyFont="1"/>
    <xf numFmtId="0" fontId="40" fillId="3" borderId="0" xfId="6"/>
    <xf numFmtId="0" fontId="42" fillId="3" borderId="0" xfId="0" applyFont="1" applyAlignment="1">
      <alignment wrapText="1"/>
    </xf>
    <xf numFmtId="0" fontId="28" fillId="13" borderId="24" xfId="0" applyFont="1" applyFill="1" applyBorder="1"/>
    <xf numFmtId="0" fontId="15" fillId="13" borderId="0" xfId="0" applyFont="1" applyFill="1" applyAlignment="1">
      <alignment horizontal="right"/>
    </xf>
    <xf numFmtId="0" fontId="0" fillId="13" borderId="22" xfId="0" applyFill="1" applyBorder="1"/>
    <xf numFmtId="0" fontId="0" fillId="13" borderId="23" xfId="0" applyFill="1" applyBorder="1"/>
    <xf numFmtId="0" fontId="0" fillId="13" borderId="21" xfId="0" applyFill="1" applyBorder="1"/>
    <xf numFmtId="0" fontId="0" fillId="13" borderId="0" xfId="0" applyFill="1"/>
    <xf numFmtId="0" fontId="0" fillId="13" borderId="25" xfId="0" applyFill="1" applyBorder="1"/>
    <xf numFmtId="0" fontId="0" fillId="13" borderId="24" xfId="0" applyFill="1" applyBorder="1"/>
    <xf numFmtId="0" fontId="43" fillId="13" borderId="0" xfId="0" applyFont="1" applyFill="1"/>
    <xf numFmtId="0" fontId="43" fillId="13" borderId="0" xfId="0" applyFont="1" applyFill="1" applyAlignment="1">
      <alignment horizontal="center"/>
    </xf>
    <xf numFmtId="2" fontId="43" fillId="13" borderId="0" xfId="0" applyNumberFormat="1" applyFont="1" applyFill="1" applyAlignment="1">
      <alignment horizontal="center"/>
    </xf>
    <xf numFmtId="0" fontId="43" fillId="13" borderId="0" xfId="0" applyFont="1" applyFill="1" applyAlignment="1">
      <alignment horizontal="right"/>
    </xf>
    <xf numFmtId="10" fontId="5" fillId="13" borderId="0" xfId="2" applyFont="1" applyFill="1"/>
    <xf numFmtId="0" fontId="0" fillId="13" borderId="0" xfId="0" applyFill="1" applyAlignment="1">
      <alignment horizontal="center"/>
    </xf>
    <xf numFmtId="0" fontId="0" fillId="13" borderId="26" xfId="0" applyFill="1" applyBorder="1"/>
    <xf numFmtId="0" fontId="0" fillId="13" borderId="27" xfId="0" applyFill="1" applyBorder="1"/>
    <xf numFmtId="2" fontId="0" fillId="13" borderId="27" xfId="0" applyNumberFormat="1" applyFill="1" applyBorder="1"/>
    <xf numFmtId="0" fontId="0" fillId="13" borderId="28" xfId="0" applyFill="1" applyBorder="1"/>
    <xf numFmtId="2" fontId="30" fillId="11" borderId="0" xfId="0" applyNumberFormat="1" applyFont="1" applyFill="1"/>
    <xf numFmtId="10" fontId="10" fillId="11" borderId="0" xfId="2" applyFill="1" applyAlignment="1">
      <alignment horizontal="center"/>
    </xf>
    <xf numFmtId="0" fontId="0" fillId="3" borderId="0" xfId="0" applyAlignment="1">
      <alignment horizontal="right"/>
    </xf>
    <xf numFmtId="0" fontId="0" fillId="4" borderId="0" xfId="0" applyFill="1" applyAlignment="1">
      <alignment horizontal="right"/>
    </xf>
    <xf numFmtId="0" fontId="47" fillId="3" borderId="0" xfId="0" applyFont="1" applyAlignment="1">
      <alignment horizontal="right"/>
    </xf>
    <xf numFmtId="0" fontId="47" fillId="3" borderId="0" xfId="0" applyFont="1"/>
    <xf numFmtId="0" fontId="0" fillId="9" borderId="1" xfId="0" applyFill="1" applyBorder="1"/>
    <xf numFmtId="0" fontId="47" fillId="3" borderId="0" xfId="0" applyFont="1" applyAlignment="1">
      <alignment horizontal="right" wrapText="1"/>
    </xf>
    <xf numFmtId="0" fontId="0" fillId="3" borderId="8" xfId="0" applyBorder="1"/>
    <xf numFmtId="0" fontId="0" fillId="3" borderId="8" xfId="0" applyBorder="1" applyAlignment="1">
      <alignment wrapText="1"/>
    </xf>
    <xf numFmtId="0" fontId="49" fillId="3" borderId="32" xfId="0" applyFont="1" applyBorder="1" applyAlignment="1">
      <alignment horizontal="center" wrapText="1"/>
    </xf>
    <xf numFmtId="0" fontId="50" fillId="3" borderId="33" xfId="0" applyFont="1" applyBorder="1" applyAlignment="1">
      <alignment horizontal="center"/>
    </xf>
    <xf numFmtId="0" fontId="50" fillId="3" borderId="16" xfId="0" applyFont="1" applyBorder="1" applyAlignment="1">
      <alignment horizontal="center"/>
    </xf>
    <xf numFmtId="0" fontId="50" fillId="3" borderId="0" xfId="0" applyFont="1" applyAlignment="1">
      <alignment horizontal="center" wrapText="1"/>
    </xf>
    <xf numFmtId="0" fontId="47" fillId="3" borderId="9" xfId="0" applyFont="1" applyBorder="1" applyAlignment="1">
      <alignment horizontal="right" wrapText="1"/>
    </xf>
    <xf numFmtId="0" fontId="0" fillId="3" borderId="9" xfId="0" applyBorder="1" applyAlignment="1">
      <alignment horizontal="center"/>
    </xf>
    <xf numFmtId="0" fontId="47" fillId="3" borderId="9" xfId="0" applyFont="1" applyBorder="1" applyAlignment="1">
      <alignment horizontal="right"/>
    </xf>
    <xf numFmtId="0" fontId="0" fillId="9" borderId="32" xfId="0" applyFill="1" applyBorder="1" applyAlignment="1">
      <alignment horizontal="center"/>
    </xf>
    <xf numFmtId="0" fontId="0" fillId="9" borderId="24" xfId="0" applyFill="1" applyBorder="1" applyAlignment="1">
      <alignment horizontal="center"/>
    </xf>
    <xf numFmtId="0" fontId="0" fillId="9" borderId="36" xfId="0" applyFill="1" applyBorder="1" applyAlignment="1">
      <alignment horizontal="center"/>
    </xf>
    <xf numFmtId="0" fontId="0" fillId="9" borderId="37" xfId="0" applyFill="1" applyBorder="1" applyAlignment="1">
      <alignment horizontal="center"/>
    </xf>
    <xf numFmtId="0" fontId="0" fillId="9" borderId="38" xfId="0" applyFill="1" applyBorder="1" applyAlignment="1">
      <alignment horizontal="center"/>
    </xf>
    <xf numFmtId="0" fontId="0" fillId="9" borderId="20" xfId="0" applyFill="1" applyBorder="1" applyAlignment="1">
      <alignment horizontal="center"/>
    </xf>
    <xf numFmtId="0" fontId="0" fillId="3" borderId="9" xfId="0" applyBorder="1" applyAlignment="1">
      <alignment horizontal="right"/>
    </xf>
    <xf numFmtId="0" fontId="0" fillId="3" borderId="36" xfId="0" applyBorder="1" applyAlignment="1">
      <alignment horizontal="center"/>
    </xf>
    <xf numFmtId="0" fontId="0" fillId="3" borderId="4" xfId="0" applyBorder="1" applyAlignment="1">
      <alignment horizontal="center"/>
    </xf>
    <xf numFmtId="0" fontId="0" fillId="3" borderId="17" xfId="0" applyBorder="1" applyAlignment="1">
      <alignment horizontal="center"/>
    </xf>
    <xf numFmtId="0" fontId="50" fillId="14" borderId="10" xfId="0" applyFont="1" applyFill="1" applyBorder="1" applyAlignment="1">
      <alignment horizontal="right"/>
    </xf>
    <xf numFmtId="0" fontId="0" fillId="3" borderId="10" xfId="0" applyBorder="1" applyAlignment="1">
      <alignment horizontal="center"/>
    </xf>
    <xf numFmtId="0" fontId="0" fillId="3" borderId="18" xfId="0" applyBorder="1" applyAlignment="1">
      <alignment horizontal="center"/>
    </xf>
    <xf numFmtId="0" fontId="0" fillId="3" borderId="0" xfId="0" applyAlignment="1">
      <alignment horizontal="right" wrapText="1"/>
    </xf>
    <xf numFmtId="0" fontId="20" fillId="3" borderId="0" xfId="0" applyFont="1" applyAlignment="1">
      <alignment horizontal="right"/>
    </xf>
    <xf numFmtId="165" fontId="0" fillId="0" borderId="0" xfId="3" applyNumberFormat="1" applyFont="1" applyBorder="1">
      <alignment horizontal="right"/>
      <protection locked="0"/>
    </xf>
    <xf numFmtId="0" fontId="1" fillId="4" borderId="0" xfId="0" applyFont="1" applyFill="1" applyAlignment="1">
      <alignment horizontal="right" wrapText="1"/>
    </xf>
    <xf numFmtId="0" fontId="0" fillId="4" borderId="0" xfId="0" applyFill="1" applyProtection="1">
      <protection locked="0"/>
    </xf>
    <xf numFmtId="0" fontId="1" fillId="4" borderId="0" xfId="0" applyFont="1" applyFill="1"/>
    <xf numFmtId="0" fontId="0" fillId="0" borderId="1" xfId="0" applyFill="1" applyBorder="1"/>
    <xf numFmtId="0" fontId="0" fillId="0" borderId="8" xfId="0" applyFill="1" applyBorder="1" applyAlignment="1" applyProtection="1">
      <alignment horizontal="center"/>
      <protection locked="0"/>
    </xf>
    <xf numFmtId="0" fontId="0" fillId="0" borderId="9" xfId="0" applyFill="1" applyBorder="1" applyAlignment="1" applyProtection="1">
      <alignment horizontal="center"/>
      <protection locked="0"/>
    </xf>
    <xf numFmtId="0" fontId="0" fillId="0" borderId="10" xfId="0" applyFill="1" applyBorder="1" applyAlignment="1" applyProtection="1">
      <alignment horizontal="center"/>
      <protection locked="0"/>
    </xf>
    <xf numFmtId="0" fontId="0" fillId="0" borderId="1" xfId="0" applyFill="1" applyBorder="1" applyAlignment="1" applyProtection="1">
      <alignment horizontal="center"/>
      <protection locked="0"/>
    </xf>
    <xf numFmtId="0" fontId="0" fillId="0" borderId="34" xfId="0" applyFill="1" applyBorder="1" applyAlignment="1" applyProtection="1">
      <alignment horizontal="center"/>
      <protection locked="0"/>
    </xf>
    <xf numFmtId="0" fontId="0" fillId="0" borderId="35" xfId="0" applyFill="1" applyBorder="1" applyAlignment="1" applyProtection="1">
      <alignment horizontal="center"/>
      <protection locked="0"/>
    </xf>
    <xf numFmtId="0" fontId="0" fillId="0" borderId="6" xfId="0" applyFill="1" applyBorder="1" applyAlignment="1" applyProtection="1">
      <alignment horizontal="center"/>
      <protection locked="0"/>
    </xf>
    <xf numFmtId="0" fontId="0" fillId="9" borderId="9" xfId="0" applyFill="1" applyBorder="1" applyAlignment="1">
      <alignment horizontal="center"/>
    </xf>
    <xf numFmtId="0" fontId="52" fillId="0" borderId="0" xfId="0" applyFont="1" applyFill="1" applyAlignment="1">
      <alignment horizontal="center"/>
    </xf>
    <xf numFmtId="2" fontId="51" fillId="13" borderId="0" xfId="0" applyNumberFormat="1" applyFont="1" applyFill="1" applyAlignment="1">
      <alignment horizontal="center"/>
    </xf>
    <xf numFmtId="165" fontId="51" fillId="13" borderId="0" xfId="0" applyNumberFormat="1" applyFont="1" applyFill="1" applyAlignment="1">
      <alignment horizontal="center"/>
    </xf>
    <xf numFmtId="2" fontId="53" fillId="0" borderId="0" xfId="0" applyNumberFormat="1" applyFont="1" applyFill="1" applyAlignment="1">
      <alignment horizontal="center"/>
    </xf>
    <xf numFmtId="9" fontId="51" fillId="13" borderId="0" xfId="0" applyNumberFormat="1" applyFont="1" applyFill="1" applyAlignment="1">
      <alignment horizontal="center"/>
    </xf>
    <xf numFmtId="2" fontId="5" fillId="10" borderId="7" xfId="4" applyNumberFormat="1"/>
    <xf numFmtId="2" fontId="53" fillId="4" borderId="0" xfId="0" applyNumberFormat="1" applyFont="1" applyFill="1" applyAlignment="1">
      <alignment horizontal="center"/>
    </xf>
    <xf numFmtId="0" fontId="51" fillId="11" borderId="0" xfId="0" applyFont="1" applyFill="1" applyAlignment="1">
      <alignment horizontal="center"/>
    </xf>
    <xf numFmtId="2" fontId="0" fillId="0" borderId="0" xfId="0" applyNumberFormat="1" applyFill="1" applyAlignment="1">
      <alignment horizontal="center"/>
    </xf>
    <xf numFmtId="0" fontId="0" fillId="3" borderId="0" xfId="0"/>
    <xf numFmtId="0" fontId="54" fillId="3" borderId="0" xfId="0" applyFont="1"/>
    <xf numFmtId="2" fontId="54" fillId="3" borderId="0" xfId="0" applyNumberFormat="1" applyFont="1"/>
    <xf numFmtId="10" fontId="54" fillId="4" borderId="0" xfId="2" applyFont="1"/>
    <xf numFmtId="165" fontId="54" fillId="3" borderId="0" xfId="0" applyNumberFormat="1" applyFont="1"/>
    <xf numFmtId="2" fontId="54" fillId="3" borderId="0" xfId="0" applyNumberFormat="1" applyFont="1" applyAlignment="1">
      <alignment horizontal="center"/>
    </xf>
    <xf numFmtId="0" fontId="54" fillId="3" borderId="0" xfId="0" applyFont="1" applyAlignment="1">
      <alignment horizontal="center"/>
    </xf>
    <xf numFmtId="0" fontId="54" fillId="3" borderId="0" xfId="0" applyFont="1" applyAlignment="1">
      <alignment horizontal="center" vertical="center"/>
    </xf>
    <xf numFmtId="0" fontId="0" fillId="3" borderId="0" xfId="0" applyAlignment="1">
      <alignment horizontal="left"/>
    </xf>
    <xf numFmtId="164" fontId="43" fillId="13" borderId="0" xfId="0" applyNumberFormat="1" applyFont="1" applyFill="1"/>
    <xf numFmtId="164" fontId="43" fillId="13" borderId="0" xfId="0" applyNumberFormat="1" applyFont="1" applyFill="1" applyAlignment="1">
      <alignment horizontal="center"/>
    </xf>
    <xf numFmtId="0" fontId="0" fillId="3" borderId="0" xfId="0" applyAlignment="1">
      <alignment wrapText="1"/>
    </xf>
    <xf numFmtId="0" fontId="0" fillId="3" borderId="0" xfId="0"/>
    <xf numFmtId="2" fontId="0" fillId="5" borderId="3" xfId="0" applyNumberFormat="1" applyFill="1" applyBorder="1" applyAlignment="1">
      <alignment horizontal="center" vertical="center" wrapText="1"/>
    </xf>
    <xf numFmtId="2" fontId="0" fillId="5" borderId="4" xfId="0" applyNumberFormat="1" applyFill="1" applyBorder="1" applyAlignment="1">
      <alignment horizontal="center" vertical="center" wrapText="1"/>
    </xf>
    <xf numFmtId="2" fontId="0" fillId="5" borderId="5" xfId="0" applyNumberFormat="1" applyFill="1" applyBorder="1" applyAlignment="1">
      <alignment horizontal="center" vertical="center" wrapText="1"/>
    </xf>
    <xf numFmtId="0" fontId="0" fillId="6" borderId="3" xfId="0" applyFill="1" applyBorder="1" applyAlignment="1">
      <alignment horizontal="center" vertical="center" wrapText="1"/>
    </xf>
    <xf numFmtId="0" fontId="0" fillId="6" borderId="4" xfId="0" applyFill="1" applyBorder="1" applyAlignment="1">
      <alignment horizontal="center" vertical="center" wrapText="1"/>
    </xf>
    <xf numFmtId="0" fontId="0" fillId="6" borderId="5" xfId="0" applyFill="1" applyBorder="1" applyAlignment="1">
      <alignment horizontal="center" vertical="center" wrapText="1"/>
    </xf>
    <xf numFmtId="0" fontId="5" fillId="3" borderId="8" xfId="0" applyFont="1" applyBorder="1" applyAlignment="1">
      <alignment horizontal="center" vertical="center" wrapText="1"/>
    </xf>
    <xf numFmtId="0" fontId="0" fillId="3" borderId="9" xfId="0" applyBorder="1" applyAlignment="1">
      <alignment horizontal="center" vertical="center" wrapText="1"/>
    </xf>
    <xf numFmtId="0" fontId="0" fillId="3" borderId="10" xfId="0" applyBorder="1" applyAlignment="1">
      <alignment horizontal="center" vertical="center" wrapText="1"/>
    </xf>
    <xf numFmtId="0" fontId="0" fillId="3" borderId="13" xfId="0" applyBorder="1"/>
    <xf numFmtId="0" fontId="0" fillId="3" borderId="14" xfId="0" applyBorder="1"/>
    <xf numFmtId="0" fontId="0" fillId="3" borderId="15" xfId="0" applyBorder="1"/>
    <xf numFmtId="0" fontId="0" fillId="3" borderId="18" xfId="0" applyBorder="1"/>
    <xf numFmtId="0" fontId="0" fillId="3" borderId="19" xfId="0" applyBorder="1"/>
    <xf numFmtId="0" fontId="0" fillId="3" borderId="13" xfId="0" applyBorder="1" applyAlignment="1">
      <alignment horizontal="center" vertical="center" wrapText="1"/>
    </xf>
    <xf numFmtId="0" fontId="0" fillId="3" borderId="14" xfId="0" applyBorder="1" applyAlignment="1">
      <alignment horizontal="center" vertical="center" wrapText="1"/>
    </xf>
    <xf numFmtId="0" fontId="0" fillId="3" borderId="16" xfId="0" applyBorder="1" applyAlignment="1">
      <alignment horizontal="center" vertical="center" wrapText="1"/>
    </xf>
    <xf numFmtId="0" fontId="0" fillId="3" borderId="15" xfId="0" applyBorder="1" applyAlignment="1">
      <alignment horizontal="center" vertical="center" wrapText="1"/>
    </xf>
    <xf numFmtId="0" fontId="0" fillId="3" borderId="0" xfId="0" applyAlignment="1">
      <alignment horizontal="center" vertical="center" wrapText="1"/>
    </xf>
    <xf numFmtId="0" fontId="0" fillId="3" borderId="17" xfId="0" applyBorder="1" applyAlignment="1">
      <alignment horizontal="center" vertical="center" wrapText="1"/>
    </xf>
    <xf numFmtId="0" fontId="0" fillId="3" borderId="18" xfId="0" applyBorder="1" applyAlignment="1">
      <alignment horizontal="center" vertical="center" wrapText="1"/>
    </xf>
    <xf numFmtId="0" fontId="0" fillId="3" borderId="19" xfId="0" applyBorder="1" applyAlignment="1">
      <alignment horizontal="center" vertical="center" wrapText="1"/>
    </xf>
    <xf numFmtId="0" fontId="0" fillId="3" borderId="20" xfId="0" applyBorder="1" applyAlignment="1">
      <alignment horizontal="center" vertical="center" wrapText="1"/>
    </xf>
    <xf numFmtId="0" fontId="5" fillId="3" borderId="11" xfId="0" applyFont="1" applyBorder="1" applyAlignment="1">
      <alignment horizontal="center"/>
    </xf>
    <xf numFmtId="0" fontId="0" fillId="3" borderId="12" xfId="0" applyBorder="1" applyAlignment="1">
      <alignment horizontal="center"/>
    </xf>
    <xf numFmtId="0" fontId="0" fillId="3" borderId="6" xfId="0" applyBorder="1" applyAlignment="1">
      <alignment horizontal="center"/>
    </xf>
    <xf numFmtId="0" fontId="0" fillId="3" borderId="13" xfId="0" applyBorder="1" applyAlignment="1">
      <alignment vertical="center" wrapText="1"/>
    </xf>
    <xf numFmtId="0" fontId="0" fillId="3" borderId="14" xfId="0" applyBorder="1" applyAlignment="1">
      <alignment vertical="center" wrapText="1"/>
    </xf>
    <xf numFmtId="0" fontId="0" fillId="3" borderId="16" xfId="0" applyBorder="1" applyAlignment="1">
      <alignment vertical="center" wrapText="1"/>
    </xf>
    <xf numFmtId="0" fontId="0" fillId="3" borderId="15" xfId="0" applyBorder="1" applyAlignment="1">
      <alignment vertical="center" wrapText="1"/>
    </xf>
    <xf numFmtId="0" fontId="0" fillId="3" borderId="0" xfId="0" applyAlignment="1">
      <alignment vertical="center" wrapText="1"/>
    </xf>
    <xf numFmtId="0" fontId="0" fillId="3" borderId="17" xfId="0" applyBorder="1" applyAlignment="1">
      <alignment vertical="center" wrapText="1"/>
    </xf>
    <xf numFmtId="0" fontId="0" fillId="3" borderId="18" xfId="0" applyBorder="1" applyAlignment="1">
      <alignment vertical="center" wrapText="1"/>
    </xf>
    <xf numFmtId="0" fontId="0" fillId="3" borderId="19" xfId="0" applyBorder="1" applyAlignment="1">
      <alignment vertical="center" wrapText="1"/>
    </xf>
    <xf numFmtId="0" fontId="0" fillId="3" borderId="20" xfId="0" applyBorder="1" applyAlignment="1">
      <alignment vertical="center" wrapText="1"/>
    </xf>
    <xf numFmtId="0" fontId="0" fillId="3" borderId="16" xfId="0" applyBorder="1"/>
    <xf numFmtId="0" fontId="0" fillId="3" borderId="17" xfId="0" applyBorder="1"/>
    <xf numFmtId="0" fontId="0" fillId="3" borderId="20" xfId="0" applyBorder="1"/>
    <xf numFmtId="0" fontId="5" fillId="3" borderId="12" xfId="0" applyFont="1" applyBorder="1" applyAlignment="1">
      <alignment horizontal="center"/>
    </xf>
    <xf numFmtId="0" fontId="5" fillId="3" borderId="6" xfId="0" applyFont="1" applyBorder="1" applyAlignment="1">
      <alignment horizontal="center"/>
    </xf>
    <xf numFmtId="0" fontId="34" fillId="3" borderId="2" xfId="0" applyFont="1" applyBorder="1" applyAlignment="1">
      <alignment horizontal="center" vertical="center" wrapText="1"/>
    </xf>
    <xf numFmtId="0" fontId="0" fillId="3" borderId="2" xfId="0" applyBorder="1" applyAlignment="1">
      <alignment horizontal="center" vertical="center" wrapText="1"/>
    </xf>
    <xf numFmtId="0" fontId="36" fillId="3" borderId="29" xfId="0" applyFont="1" applyBorder="1" applyAlignment="1">
      <alignment horizontal="center" vertical="center" wrapText="1"/>
    </xf>
    <xf numFmtId="0" fontId="0" fillId="3" borderId="30" xfId="0" applyBorder="1" applyAlignment="1">
      <alignment horizontal="center" vertical="center" wrapText="1"/>
    </xf>
    <xf numFmtId="0" fontId="0" fillId="3" borderId="31" xfId="0" applyBorder="1" applyAlignment="1">
      <alignment horizontal="center" vertical="center" wrapText="1"/>
    </xf>
    <xf numFmtId="0" fontId="5" fillId="3" borderId="2" xfId="0" applyFont="1" applyBorder="1" applyAlignment="1">
      <alignment horizontal="center"/>
    </xf>
    <xf numFmtId="0" fontId="35" fillId="3" borderId="2" xfId="0" applyFont="1" applyBorder="1" applyAlignment="1">
      <alignment horizontal="center" vertical="center"/>
    </xf>
    <xf numFmtId="0" fontId="0" fillId="3" borderId="2" xfId="0" applyBorder="1" applyAlignment="1">
      <alignment horizontal="center" vertical="center"/>
    </xf>
  </cellXfs>
  <cellStyles count="7">
    <cellStyle name="Bloquée" xfId="5"/>
    <cellStyle name="Formule" xfId="1"/>
    <cellStyle name="Lien hypertexte" xfId="6" builtinId="8"/>
    <cellStyle name="Normal" xfId="0" builtinId="0" customBuiltin="1"/>
    <cellStyle name="Pourcentage" xfId="2" builtinId="5" customBuiltin="1"/>
    <cellStyle name="Saisie" xfId="3"/>
    <cellStyle name="Titre" xfId="4" builtinId="15" customBuiltin="1"/>
  </cellStyles>
  <dxfs count="3">
    <dxf>
      <font>
        <color rgb="FFFF0000"/>
      </font>
    </dxf>
    <dxf>
      <font>
        <color rgb="FF00FF99"/>
      </font>
    </dxf>
    <dxf>
      <font>
        <color rgb="FFFF0000"/>
      </font>
    </dxf>
  </dxfs>
  <tableStyles count="0" defaultTableStyle="TableStyleMedium9" defaultPivotStyle="PivotStyleLight16"/>
  <colors>
    <mruColors>
      <color rgb="FF33CC33"/>
      <color rgb="FF00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1.xml"/><Relationship Id="rId18" Type="http://schemas.openxmlformats.org/officeDocument/2006/relationships/worksheet" Target="worksheets/sheet16.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0.xml"/><Relationship Id="rId17" Type="http://schemas.openxmlformats.org/officeDocument/2006/relationships/worksheet" Target="worksheets/sheet15.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4.xml"/><Relationship Id="rId20" Type="http://schemas.openxmlformats.org/officeDocument/2006/relationships/worksheet" Target="worksheets/sheet1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hartsheet" Target="chartsheets/sheet2.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3.xml"/><Relationship Id="rId23" Type="http://schemas.openxmlformats.org/officeDocument/2006/relationships/styles" Target="styles.xml"/><Relationship Id="rId10" Type="http://schemas.openxmlformats.org/officeDocument/2006/relationships/chartsheet" Target="chartsheets/sheet1.xml"/><Relationship Id="rId19" Type="http://schemas.openxmlformats.org/officeDocument/2006/relationships/chartsheet" Target="chartsheets/sheet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2.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220655420882386"/>
          <c:y val="3.7116708489559481E-2"/>
          <c:w val="0.82165755939222118"/>
          <c:h val="0.9080687469896831"/>
        </c:manualLayout>
      </c:layout>
      <c:scatterChart>
        <c:scatterStyle val="lineMarker"/>
        <c:varyColors val="0"/>
        <c:ser>
          <c:idx val="0"/>
          <c:order val="0"/>
          <c:tx>
            <c:strRef>
              <c:f>Bilan!$B$43</c:f>
              <c:strCache>
                <c:ptCount val="1"/>
                <c:pt idx="0">
                  <c:v>Taux de recouvrement (%)</c:v>
                </c:pt>
              </c:strCache>
            </c:strRef>
          </c:tx>
          <c:spPr>
            <a:ln w="31750">
              <a:solidFill>
                <a:srgbClr val="000000"/>
              </a:solidFill>
              <a:prstDash val="solid"/>
            </a:ln>
          </c:spPr>
          <c:marker>
            <c:symbol val="circle"/>
            <c:size val="7"/>
            <c:spPr>
              <a:solidFill>
                <a:srgbClr val="FFFF00"/>
              </a:solidFill>
              <a:ln>
                <a:solidFill>
                  <a:srgbClr val="000000"/>
                </a:solidFill>
                <a:prstDash val="solid"/>
              </a:ln>
            </c:spPr>
          </c:marker>
          <c:xVal>
            <c:numRef>
              <c:f>Bilan!$C$42:$I$42</c:f>
              <c:numCache>
                <c:formatCode>General</c:formatCode>
                <c:ptCount val="7"/>
                <c:pt idx="0">
                  <c:v>1.6</c:v>
                </c:pt>
                <c:pt idx="1">
                  <c:v>3.6</c:v>
                </c:pt>
                <c:pt idx="2">
                  <c:v>5.6</c:v>
                </c:pt>
                <c:pt idx="3">
                  <c:v>7.6</c:v>
                </c:pt>
                <c:pt idx="4">
                  <c:v>9.6</c:v>
                </c:pt>
                <c:pt idx="5">
                  <c:v>11.6</c:v>
                </c:pt>
                <c:pt idx="6">
                  <c:v>21.6</c:v>
                </c:pt>
              </c:numCache>
            </c:numRef>
          </c:xVal>
          <c:yVal>
            <c:numRef>
              <c:f>Bilan!$C$43:$I$43</c:f>
              <c:numCache>
                <c:formatCode>0.00%</c:formatCode>
                <c:ptCount val="7"/>
                <c:pt idx="0">
                  <c:v>1.2499999999999998</c:v>
                </c:pt>
                <c:pt idx="1">
                  <c:v>1.1041666666666665</c:v>
                </c:pt>
                <c:pt idx="2">
                  <c:v>1.0580357142857144</c:v>
                </c:pt>
                <c:pt idx="3">
                  <c:v>1.0822368421052635</c:v>
                </c:pt>
                <c:pt idx="4">
                  <c:v>1.0390625</c:v>
                </c:pt>
                <c:pt idx="5">
                  <c:v>1.0323275862068964</c:v>
                </c:pt>
                <c:pt idx="6">
                  <c:v>1.0196759259259258</c:v>
                </c:pt>
              </c:numCache>
            </c:numRef>
          </c:yVal>
          <c:smooth val="0"/>
          <c:extLst>
            <c:ext xmlns:c16="http://schemas.microsoft.com/office/drawing/2014/chart" uri="{C3380CC4-5D6E-409C-BE32-E72D297353CC}">
              <c16:uniqueId val="{00000000-0EB2-4389-BE56-71D32118B7B9}"/>
            </c:ext>
          </c:extLst>
        </c:ser>
        <c:ser>
          <c:idx val="1"/>
          <c:order val="1"/>
          <c:tx>
            <c:strRef>
              <c:f>Bilan!$B$44</c:f>
              <c:strCache>
                <c:ptCount val="1"/>
                <c:pt idx="0">
                  <c:v>Limite basse tolérance (%)</c:v>
                </c:pt>
              </c:strCache>
            </c:strRef>
          </c:tx>
          <c:spPr>
            <a:ln w="19050">
              <a:solidFill>
                <a:srgbClr val="0070C0"/>
              </a:solidFill>
              <a:prstDash val="solid"/>
            </a:ln>
          </c:spPr>
          <c:marker>
            <c:symbol val="none"/>
          </c:marker>
          <c:xVal>
            <c:numRef>
              <c:f>Bilan!$C$42:$I$42</c:f>
              <c:numCache>
                <c:formatCode>General</c:formatCode>
                <c:ptCount val="7"/>
                <c:pt idx="0">
                  <c:v>1.6</c:v>
                </c:pt>
                <c:pt idx="1">
                  <c:v>3.6</c:v>
                </c:pt>
                <c:pt idx="2">
                  <c:v>5.6</c:v>
                </c:pt>
                <c:pt idx="3">
                  <c:v>7.6</c:v>
                </c:pt>
                <c:pt idx="4">
                  <c:v>9.6</c:v>
                </c:pt>
                <c:pt idx="5">
                  <c:v>11.6</c:v>
                </c:pt>
                <c:pt idx="6">
                  <c:v>21.6</c:v>
                </c:pt>
              </c:numCache>
            </c:numRef>
          </c:xVal>
          <c:yVal>
            <c:numRef>
              <c:f>Bilan!$C$44:$I$44</c:f>
              <c:numCache>
                <c:formatCode>0.00%</c:formatCode>
                <c:ptCount val="7"/>
                <c:pt idx="0">
                  <c:v>0.82497779412707584</c:v>
                </c:pt>
                <c:pt idx="1">
                  <c:v>0.9249615697723419</c:v>
                </c:pt>
                <c:pt idx="2">
                  <c:v>0.90347429969437243</c:v>
                </c:pt>
                <c:pt idx="3">
                  <c:v>0.92986068720192994</c:v>
                </c:pt>
                <c:pt idx="4">
                  <c:v>0.90883019696470246</c:v>
                </c:pt>
                <c:pt idx="5">
                  <c:v>0.91362353454528766</c:v>
                </c:pt>
                <c:pt idx="6">
                  <c:v>0.92702776595669767</c:v>
                </c:pt>
              </c:numCache>
            </c:numRef>
          </c:yVal>
          <c:smooth val="0"/>
          <c:extLst>
            <c:ext xmlns:c16="http://schemas.microsoft.com/office/drawing/2014/chart" uri="{C3380CC4-5D6E-409C-BE32-E72D297353CC}">
              <c16:uniqueId val="{00000001-0EB2-4389-BE56-71D32118B7B9}"/>
            </c:ext>
          </c:extLst>
        </c:ser>
        <c:ser>
          <c:idx val="2"/>
          <c:order val="2"/>
          <c:tx>
            <c:strRef>
              <c:f>Bilan!$B$45</c:f>
              <c:strCache>
                <c:ptCount val="1"/>
                <c:pt idx="0">
                  <c:v>Limite haute tolérance (%)</c:v>
                </c:pt>
              </c:strCache>
            </c:strRef>
          </c:tx>
          <c:spPr>
            <a:ln w="19050">
              <a:solidFill>
                <a:srgbClr val="0070C0"/>
              </a:solidFill>
              <a:prstDash val="solid"/>
            </a:ln>
          </c:spPr>
          <c:marker>
            <c:symbol val="none"/>
          </c:marker>
          <c:xVal>
            <c:numRef>
              <c:f>Bilan!$C$42:$I$42</c:f>
              <c:numCache>
                <c:formatCode>General</c:formatCode>
                <c:ptCount val="7"/>
                <c:pt idx="0">
                  <c:v>1.6</c:v>
                </c:pt>
                <c:pt idx="1">
                  <c:v>3.6</c:v>
                </c:pt>
                <c:pt idx="2">
                  <c:v>5.6</c:v>
                </c:pt>
                <c:pt idx="3">
                  <c:v>7.6</c:v>
                </c:pt>
                <c:pt idx="4">
                  <c:v>9.6</c:v>
                </c:pt>
                <c:pt idx="5">
                  <c:v>11.6</c:v>
                </c:pt>
                <c:pt idx="6">
                  <c:v>21.6</c:v>
                </c:pt>
              </c:numCache>
            </c:numRef>
          </c:xVal>
          <c:yVal>
            <c:numRef>
              <c:f>Bilan!$C$45:$I$45</c:f>
              <c:numCache>
                <c:formatCode>0.00%</c:formatCode>
                <c:ptCount val="7"/>
                <c:pt idx="0">
                  <c:v>1.6750222058729238</c:v>
                </c:pt>
                <c:pt idx="1">
                  <c:v>1.2833717635609914</c:v>
                </c:pt>
                <c:pt idx="2">
                  <c:v>1.2125971288770563</c:v>
                </c:pt>
                <c:pt idx="3">
                  <c:v>1.2346129970085971</c:v>
                </c:pt>
                <c:pt idx="4">
                  <c:v>1.1692948030352976</c:v>
                </c:pt>
                <c:pt idx="5">
                  <c:v>1.151031637868505</c:v>
                </c:pt>
                <c:pt idx="6">
                  <c:v>1.112324085895154</c:v>
                </c:pt>
              </c:numCache>
            </c:numRef>
          </c:yVal>
          <c:smooth val="0"/>
          <c:extLst>
            <c:ext xmlns:c16="http://schemas.microsoft.com/office/drawing/2014/chart" uri="{C3380CC4-5D6E-409C-BE32-E72D297353CC}">
              <c16:uniqueId val="{00000002-0EB2-4389-BE56-71D32118B7B9}"/>
            </c:ext>
          </c:extLst>
        </c:ser>
        <c:ser>
          <c:idx val="3"/>
          <c:order val="3"/>
          <c:tx>
            <c:strRef>
              <c:f>Bilan!$B$46</c:f>
              <c:strCache>
                <c:ptCount val="1"/>
                <c:pt idx="0">
                  <c:v>Limite d'acceptabilité basse </c:v>
                </c:pt>
              </c:strCache>
            </c:strRef>
          </c:tx>
          <c:spPr>
            <a:ln w="25400">
              <a:solidFill>
                <a:srgbClr val="FF0000"/>
              </a:solidFill>
              <a:prstDash val="lgDash"/>
            </a:ln>
          </c:spPr>
          <c:marker>
            <c:symbol val="none"/>
          </c:marker>
          <c:xVal>
            <c:numRef>
              <c:f>Bilan!$C$42:$I$42</c:f>
              <c:numCache>
                <c:formatCode>General</c:formatCode>
                <c:ptCount val="7"/>
                <c:pt idx="0">
                  <c:v>1.6</c:v>
                </c:pt>
                <c:pt idx="1">
                  <c:v>3.6</c:v>
                </c:pt>
                <c:pt idx="2">
                  <c:v>5.6</c:v>
                </c:pt>
                <c:pt idx="3">
                  <c:v>7.6</c:v>
                </c:pt>
                <c:pt idx="4">
                  <c:v>9.6</c:v>
                </c:pt>
                <c:pt idx="5">
                  <c:v>11.6</c:v>
                </c:pt>
                <c:pt idx="6">
                  <c:v>21.6</c:v>
                </c:pt>
              </c:numCache>
            </c:numRef>
          </c:xVal>
          <c:yVal>
            <c:numRef>
              <c:f>Bilan!$C$46:$I$46</c:f>
              <c:numCache>
                <c:formatCode>0.00%</c:formatCode>
                <c:ptCount val="7"/>
                <c:pt idx="0">
                  <c:v>0.7</c:v>
                </c:pt>
                <c:pt idx="1">
                  <c:v>0.7</c:v>
                </c:pt>
                <c:pt idx="2">
                  <c:v>0.7</c:v>
                </c:pt>
                <c:pt idx="3">
                  <c:v>0.7</c:v>
                </c:pt>
                <c:pt idx="4">
                  <c:v>0.7</c:v>
                </c:pt>
                <c:pt idx="5">
                  <c:v>0.7</c:v>
                </c:pt>
                <c:pt idx="6">
                  <c:v>0.7</c:v>
                </c:pt>
              </c:numCache>
            </c:numRef>
          </c:yVal>
          <c:smooth val="0"/>
          <c:extLst>
            <c:ext xmlns:c16="http://schemas.microsoft.com/office/drawing/2014/chart" uri="{C3380CC4-5D6E-409C-BE32-E72D297353CC}">
              <c16:uniqueId val="{00000003-0EB2-4389-BE56-71D32118B7B9}"/>
            </c:ext>
          </c:extLst>
        </c:ser>
        <c:ser>
          <c:idx val="4"/>
          <c:order val="4"/>
          <c:tx>
            <c:strRef>
              <c:f>Bilan!$B$47</c:f>
              <c:strCache>
                <c:ptCount val="1"/>
                <c:pt idx="0">
                  <c:v>Limite d'acceptabilité haute</c:v>
                </c:pt>
              </c:strCache>
            </c:strRef>
          </c:tx>
          <c:spPr>
            <a:ln w="25400">
              <a:solidFill>
                <a:srgbClr val="FF0000"/>
              </a:solidFill>
              <a:prstDash val="lgDash"/>
            </a:ln>
          </c:spPr>
          <c:marker>
            <c:symbol val="none"/>
          </c:marker>
          <c:xVal>
            <c:numRef>
              <c:f>Bilan!$C$42:$I$42</c:f>
              <c:numCache>
                <c:formatCode>General</c:formatCode>
                <c:ptCount val="7"/>
                <c:pt idx="0">
                  <c:v>1.6</c:v>
                </c:pt>
                <c:pt idx="1">
                  <c:v>3.6</c:v>
                </c:pt>
                <c:pt idx="2">
                  <c:v>5.6</c:v>
                </c:pt>
                <c:pt idx="3">
                  <c:v>7.6</c:v>
                </c:pt>
                <c:pt idx="4">
                  <c:v>9.6</c:v>
                </c:pt>
                <c:pt idx="5">
                  <c:v>11.6</c:v>
                </c:pt>
                <c:pt idx="6">
                  <c:v>21.6</c:v>
                </c:pt>
              </c:numCache>
            </c:numRef>
          </c:xVal>
          <c:yVal>
            <c:numRef>
              <c:f>Bilan!$C$47:$I$47</c:f>
              <c:numCache>
                <c:formatCode>0.00%</c:formatCode>
                <c:ptCount val="7"/>
                <c:pt idx="0">
                  <c:v>1.3</c:v>
                </c:pt>
                <c:pt idx="1">
                  <c:v>1.3</c:v>
                </c:pt>
                <c:pt idx="2">
                  <c:v>1.3</c:v>
                </c:pt>
                <c:pt idx="3">
                  <c:v>1.3</c:v>
                </c:pt>
                <c:pt idx="4">
                  <c:v>1.3</c:v>
                </c:pt>
                <c:pt idx="5">
                  <c:v>1.3</c:v>
                </c:pt>
                <c:pt idx="6">
                  <c:v>1.3</c:v>
                </c:pt>
              </c:numCache>
            </c:numRef>
          </c:yVal>
          <c:smooth val="0"/>
          <c:extLst>
            <c:ext xmlns:c16="http://schemas.microsoft.com/office/drawing/2014/chart" uri="{C3380CC4-5D6E-409C-BE32-E72D297353CC}">
              <c16:uniqueId val="{00000004-0EB2-4389-BE56-71D32118B7B9}"/>
            </c:ext>
          </c:extLst>
        </c:ser>
        <c:dLbls>
          <c:showLegendKey val="0"/>
          <c:showVal val="0"/>
          <c:showCatName val="0"/>
          <c:showSerName val="0"/>
          <c:showPercent val="0"/>
          <c:showBubbleSize val="0"/>
        </c:dLbls>
        <c:axId val="149639936"/>
        <c:axId val="149641856"/>
      </c:scatterChart>
      <c:valAx>
        <c:axId val="149639936"/>
        <c:scaling>
          <c:orientation val="minMax"/>
        </c:scaling>
        <c:delete val="0"/>
        <c:axPos val="b"/>
        <c:numFmt formatCode="General" sourceLinked="0"/>
        <c:majorTickMark val="out"/>
        <c:minorTickMark val="out"/>
        <c:tickLblPos val="nextTo"/>
        <c:spPr>
          <a:ln w="3175">
            <a:solidFill>
              <a:srgbClr val="000000"/>
            </a:solidFill>
            <a:prstDash val="solid"/>
          </a:ln>
        </c:spPr>
        <c:txPr>
          <a:bodyPr rot="0" vert="horz"/>
          <a:lstStyle/>
          <a:p>
            <a:pPr>
              <a:defRPr/>
            </a:pPr>
            <a:endParaRPr lang="fr-FR"/>
          </a:p>
        </c:txPr>
        <c:crossAx val="149641856"/>
        <c:crossesAt val="1"/>
        <c:crossBetween val="midCat"/>
      </c:valAx>
      <c:valAx>
        <c:axId val="149641856"/>
        <c:scaling>
          <c:orientation val="minMax"/>
        </c:scaling>
        <c:delete val="0"/>
        <c:axPos val="l"/>
        <c:title>
          <c:tx>
            <c:strRef>
              <c:f>Bilan!$B$16</c:f>
              <c:strCache>
                <c:ptCount val="1"/>
                <c:pt idx="0">
                  <c:v>Exactitude (%)</c:v>
                </c:pt>
              </c:strCache>
            </c:strRef>
          </c:tx>
          <c:layout>
            <c:manualLayout>
              <c:xMode val="edge"/>
              <c:yMode val="edge"/>
              <c:x val="1.9195320221555501E-2"/>
              <c:y val="0.40217579101824957"/>
            </c:manualLayout>
          </c:layout>
          <c:overlay val="0"/>
          <c:spPr>
            <a:noFill/>
            <a:ln w="25400">
              <a:noFill/>
            </a:ln>
          </c:spPr>
        </c:title>
        <c:numFmt formatCode="0%" sourceLinked="0"/>
        <c:majorTickMark val="out"/>
        <c:minorTickMark val="in"/>
        <c:tickLblPos val="nextTo"/>
        <c:spPr>
          <a:ln w="3175">
            <a:solidFill>
              <a:srgbClr val="000000"/>
            </a:solidFill>
            <a:prstDash val="solid"/>
          </a:ln>
        </c:spPr>
        <c:txPr>
          <a:bodyPr rot="0" vert="horz"/>
          <a:lstStyle/>
          <a:p>
            <a:pPr>
              <a:defRPr/>
            </a:pPr>
            <a:endParaRPr lang="fr-FR"/>
          </a:p>
        </c:txPr>
        <c:crossAx val="149639936"/>
        <c:crossesAt val="0"/>
        <c:crossBetween val="midCat"/>
      </c:valAx>
      <c:spPr>
        <a:noFill/>
        <a:ln w="25400">
          <a:noFill/>
        </a:ln>
      </c:spPr>
    </c:plotArea>
    <c:legend>
      <c:legendPos val="r"/>
      <c:layout>
        <c:manualLayout>
          <c:xMode val="edge"/>
          <c:yMode val="edge"/>
          <c:x val="0.16916993068174171"/>
          <c:y val="1.0667676356986473E-2"/>
          <c:w val="0.82356573120667598"/>
          <c:h val="5.779880801284816E-2"/>
        </c:manualLayout>
      </c:layout>
      <c:overlay val="0"/>
      <c:spPr>
        <a:noFill/>
        <a:ln w="3175">
          <a:noFill/>
          <a:prstDash val="solid"/>
        </a:ln>
      </c:spPr>
      <c:txPr>
        <a:bodyPr/>
        <a:lstStyle/>
        <a:p>
          <a:pPr>
            <a:defRPr sz="1000"/>
          </a:pPr>
          <a:endParaRPr lang="fr-FR"/>
        </a:p>
      </c:txPr>
    </c:legend>
    <c:plotVisOnly val="1"/>
    <c:dispBlanksAs val="gap"/>
    <c:showDLblsOverMax val="0"/>
  </c:chart>
  <c:spPr>
    <a:noFill/>
    <a:ln w="9525">
      <a:noFill/>
    </a:ln>
  </c:spPr>
  <c:txPr>
    <a:bodyPr/>
    <a:lstStyle/>
    <a:p>
      <a:pPr>
        <a:defRPr sz="1800" b="0" i="0" u="none" strike="noStrike" baseline="0">
          <a:solidFill>
            <a:srgbClr val="000000"/>
          </a:solidFill>
          <a:latin typeface="+mn-lt"/>
          <a:ea typeface="Verdana"/>
          <a:cs typeface="Verdana"/>
        </a:defRPr>
      </a:pPr>
      <a:endParaRPr lang="fr-FR"/>
    </a:p>
  </c:txPr>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tx>
            <c:strRef>
              <c:f>Bilan!$B$53</c:f>
              <c:strCache>
                <c:ptCount val="1"/>
                <c:pt idx="0">
                  <c:v>Incertitude étendue</c:v>
                </c:pt>
              </c:strCache>
            </c:strRef>
          </c:tx>
          <c:spPr>
            <a:ln w="28575">
              <a:noFill/>
            </a:ln>
          </c:spPr>
          <c:marker>
            <c:symbol val="circle"/>
            <c:size val="7"/>
            <c:spPr>
              <a:solidFill>
                <a:srgbClr val="33CC33"/>
              </a:solidFill>
              <a:ln>
                <a:solidFill>
                  <a:schemeClr val="tx1"/>
                </a:solidFill>
              </a:ln>
            </c:spPr>
          </c:marker>
          <c:trendline>
            <c:spPr>
              <a:ln w="28575">
                <a:solidFill>
                  <a:srgbClr val="33CC33"/>
                </a:solidFill>
              </a:ln>
            </c:spPr>
            <c:trendlineType val="power"/>
            <c:dispRSqr val="1"/>
            <c:dispEq val="1"/>
            <c:trendlineLbl>
              <c:layout>
                <c:manualLayout>
                  <c:x val="-0.48567930547143146"/>
                  <c:y val="-3.0890382071975791E-2"/>
                </c:manualLayout>
              </c:layout>
              <c:numFmt formatCode="General" sourceLinked="0"/>
            </c:trendlineLbl>
          </c:trendline>
          <c:xVal>
            <c:numRef>
              <c:f>Bilan!$C$51:$I$51</c:f>
              <c:numCache>
                <c:formatCode>General</c:formatCode>
                <c:ptCount val="7"/>
                <c:pt idx="0">
                  <c:v>1.6</c:v>
                </c:pt>
                <c:pt idx="1">
                  <c:v>3.6</c:v>
                </c:pt>
                <c:pt idx="2">
                  <c:v>5.6</c:v>
                </c:pt>
                <c:pt idx="3">
                  <c:v>7.6</c:v>
                </c:pt>
                <c:pt idx="4">
                  <c:v>9.6</c:v>
                </c:pt>
                <c:pt idx="5">
                  <c:v>11.6</c:v>
                </c:pt>
                <c:pt idx="6">
                  <c:v>21.6</c:v>
                </c:pt>
              </c:numCache>
            </c:numRef>
          </c:xVal>
          <c:yVal>
            <c:numRef>
              <c:f>Bilan!$C$53:$I$53</c:f>
              <c:numCache>
                <c:formatCode>General</c:formatCode>
                <c:ptCount val="7"/>
                <c:pt idx="0">
                  <c:v>0.79056941504209455</c:v>
                </c:pt>
                <c:pt idx="1">
                  <c:v>0.75000000000000033</c:v>
                </c:pt>
                <c:pt idx="2">
                  <c:v>1.0062305898749049</c:v>
                </c:pt>
                <c:pt idx="3">
                  <c:v>1.3462912017836262</c:v>
                </c:pt>
                <c:pt idx="4">
                  <c:v>1.4534441853748628</c:v>
                </c:pt>
                <c:pt idx="5">
                  <c:v>1.6007810593582119</c:v>
                </c:pt>
                <c:pt idx="6">
                  <c:v>2.3264780248263697</c:v>
                </c:pt>
              </c:numCache>
            </c:numRef>
          </c:yVal>
          <c:smooth val="0"/>
          <c:extLst>
            <c:ext xmlns:c16="http://schemas.microsoft.com/office/drawing/2014/chart" uri="{C3380CC4-5D6E-409C-BE32-E72D297353CC}">
              <c16:uniqueId val="{00000000-8163-4696-A3B0-E57DF5868DB4}"/>
            </c:ext>
          </c:extLst>
        </c:ser>
        <c:dLbls>
          <c:showLegendKey val="0"/>
          <c:showVal val="0"/>
          <c:showCatName val="0"/>
          <c:showSerName val="0"/>
          <c:showPercent val="0"/>
          <c:showBubbleSize val="0"/>
        </c:dLbls>
        <c:axId val="153216896"/>
        <c:axId val="153227264"/>
      </c:scatterChart>
      <c:valAx>
        <c:axId val="153216896"/>
        <c:scaling>
          <c:orientation val="minMax"/>
        </c:scaling>
        <c:delete val="0"/>
        <c:axPos val="b"/>
        <c:title>
          <c:tx>
            <c:strRef>
              <c:f>Bilan!$B$5</c:f>
              <c:strCache>
                <c:ptCount val="1"/>
                <c:pt idx="0">
                  <c:v>Niveau</c:v>
                </c:pt>
              </c:strCache>
            </c:strRef>
          </c:tx>
          <c:overlay val="0"/>
        </c:title>
        <c:numFmt formatCode="0.0" sourceLinked="0"/>
        <c:majorTickMark val="out"/>
        <c:minorTickMark val="none"/>
        <c:tickLblPos val="nextTo"/>
        <c:crossAx val="153227264"/>
        <c:crosses val="autoZero"/>
        <c:crossBetween val="midCat"/>
      </c:valAx>
      <c:valAx>
        <c:axId val="153227264"/>
        <c:scaling>
          <c:orientation val="minMax"/>
          <c:min val="0"/>
        </c:scaling>
        <c:delete val="0"/>
        <c:axPos val="l"/>
        <c:title>
          <c:tx>
            <c:strRef>
              <c:f>Bilan!$B$26</c:f>
              <c:strCache>
                <c:ptCount val="1"/>
                <c:pt idx="0">
                  <c:v>Incertitude étendue</c:v>
                </c:pt>
              </c:strCache>
            </c:strRef>
          </c:tx>
          <c:overlay val="0"/>
          <c:txPr>
            <a:bodyPr rot="-5400000" vert="horz"/>
            <a:lstStyle/>
            <a:p>
              <a:pPr>
                <a:defRPr/>
              </a:pPr>
              <a:endParaRPr lang="fr-FR"/>
            </a:p>
          </c:txPr>
        </c:title>
        <c:numFmt formatCode="#,##0.0" sourceLinked="0"/>
        <c:majorTickMark val="out"/>
        <c:minorTickMark val="none"/>
        <c:tickLblPos val="nextTo"/>
        <c:crossAx val="153216896"/>
        <c:crosses val="autoZero"/>
        <c:crossBetween val="midCat"/>
      </c:valAx>
    </c:plotArea>
    <c:plotVisOnly val="1"/>
    <c:dispBlanksAs val="gap"/>
    <c:showDLblsOverMax val="0"/>
  </c:chart>
  <c:txPr>
    <a:bodyPr/>
    <a:lstStyle/>
    <a:p>
      <a:pPr>
        <a:defRPr sz="1800" b="0"/>
      </a:pPr>
      <a:endParaRPr lang="fr-FR"/>
    </a:p>
  </c:txPr>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773809812235009"/>
          <c:y val="3.3255289266688776E-2"/>
          <c:w val="0.50434661821118509"/>
          <c:h val="0.81931529229673128"/>
        </c:manualLayout>
      </c:layout>
      <c:scatterChart>
        <c:scatterStyle val="lineMarker"/>
        <c:varyColors val="0"/>
        <c:ser>
          <c:idx val="0"/>
          <c:order val="0"/>
          <c:tx>
            <c:v>modélisation biais méthode</c:v>
          </c:tx>
          <c:spPr>
            <a:ln w="28575">
              <a:noFill/>
            </a:ln>
          </c:spPr>
          <c:marker>
            <c:symbol val="circle"/>
            <c:size val="7"/>
            <c:spPr>
              <a:solidFill>
                <a:schemeClr val="accent6"/>
              </a:solidFill>
              <a:ln>
                <a:noFill/>
              </a:ln>
            </c:spPr>
          </c:marker>
          <c:trendline>
            <c:spPr>
              <a:ln>
                <a:solidFill>
                  <a:schemeClr val="accent6"/>
                </a:solidFill>
                <a:prstDash val="sysDash"/>
              </a:ln>
            </c:spPr>
            <c:trendlineType val="linear"/>
            <c:dispRSqr val="1"/>
            <c:dispEq val="1"/>
            <c:trendlineLbl>
              <c:layout>
                <c:manualLayout>
                  <c:x val="0.21107950736927114"/>
                  <c:y val="0.44764193087408544"/>
                </c:manualLayout>
              </c:layout>
              <c:numFmt formatCode="General" sourceLinked="0"/>
              <c:txPr>
                <a:bodyPr/>
                <a:lstStyle/>
                <a:p>
                  <a:pPr>
                    <a:defRPr sz="1200"/>
                  </a:pPr>
                  <a:endParaRPr lang="fr-FR"/>
                </a:p>
              </c:txPr>
            </c:trendlineLbl>
          </c:trendline>
          <c:xVal>
            <c:numRef>
              <c:f>Bilan!$C$60:$I$60</c:f>
              <c:numCache>
                <c:formatCode>General</c:formatCode>
                <c:ptCount val="7"/>
                <c:pt idx="0">
                  <c:v>1.6</c:v>
                </c:pt>
                <c:pt idx="1">
                  <c:v>3.6</c:v>
                </c:pt>
                <c:pt idx="2">
                  <c:v>5.6</c:v>
                </c:pt>
                <c:pt idx="3">
                  <c:v>7.6</c:v>
                </c:pt>
                <c:pt idx="4">
                  <c:v>9.6</c:v>
                </c:pt>
                <c:pt idx="5">
                  <c:v>11.6</c:v>
                </c:pt>
                <c:pt idx="6">
                  <c:v>21.6</c:v>
                </c:pt>
              </c:numCache>
            </c:numRef>
          </c:xVal>
          <c:yVal>
            <c:numRef>
              <c:f>Bilan!$C$61:$I$61</c:f>
              <c:numCache>
                <c:formatCode>0.000</c:formatCode>
                <c:ptCount val="7"/>
                <c:pt idx="0">
                  <c:v>1.9999999999999998</c:v>
                </c:pt>
                <c:pt idx="1">
                  <c:v>3.9749999999999996</c:v>
                </c:pt>
                <c:pt idx="2">
                  <c:v>5.9249999999999998</c:v>
                </c:pt>
                <c:pt idx="3">
                  <c:v>8.2250000000000014</c:v>
                </c:pt>
                <c:pt idx="4">
                  <c:v>9.9749999999999996</c:v>
                </c:pt>
                <c:pt idx="5">
                  <c:v>11.974999999999998</c:v>
                </c:pt>
                <c:pt idx="6">
                  <c:v>22.024999999999999</c:v>
                </c:pt>
              </c:numCache>
            </c:numRef>
          </c:yVal>
          <c:smooth val="0"/>
          <c:extLst>
            <c:ext xmlns:c16="http://schemas.microsoft.com/office/drawing/2014/chart" uri="{C3380CC4-5D6E-409C-BE32-E72D297353CC}">
              <c16:uniqueId val="{00000001-6732-4CBB-85CE-7D89C996A1B6}"/>
            </c:ext>
          </c:extLst>
        </c:ser>
        <c:ser>
          <c:idx val="1"/>
          <c:order val="1"/>
          <c:tx>
            <c:v>méthode sans biais</c:v>
          </c:tx>
          <c:spPr>
            <a:ln w="28575">
              <a:noFill/>
            </a:ln>
          </c:spPr>
          <c:marker>
            <c:symbol val="circle"/>
            <c:size val="7"/>
            <c:spPr>
              <a:solidFill>
                <a:schemeClr val="accent1"/>
              </a:solidFill>
              <a:ln>
                <a:noFill/>
              </a:ln>
            </c:spPr>
          </c:marker>
          <c:trendline>
            <c:spPr>
              <a:ln>
                <a:solidFill>
                  <a:schemeClr val="accent1"/>
                </a:solidFill>
                <a:prstDash val="sysDash"/>
              </a:ln>
            </c:spPr>
            <c:trendlineType val="linear"/>
            <c:dispRSqr val="0"/>
            <c:dispEq val="1"/>
            <c:trendlineLbl>
              <c:layout>
                <c:manualLayout>
                  <c:x val="0.198819732148866"/>
                  <c:y val="0.48840615671870968"/>
                </c:manualLayout>
              </c:layout>
              <c:numFmt formatCode="General" sourceLinked="0"/>
              <c:txPr>
                <a:bodyPr/>
                <a:lstStyle/>
                <a:p>
                  <a:pPr>
                    <a:defRPr sz="1200"/>
                  </a:pPr>
                  <a:endParaRPr lang="fr-FR"/>
                </a:p>
              </c:txPr>
            </c:trendlineLbl>
          </c:trendline>
          <c:xVal>
            <c:numRef>
              <c:f>Bilan!$C$60:$J$60</c:f>
              <c:numCache>
                <c:formatCode>General</c:formatCode>
                <c:ptCount val="8"/>
                <c:pt idx="0">
                  <c:v>1.6</c:v>
                </c:pt>
                <c:pt idx="1">
                  <c:v>3.6</c:v>
                </c:pt>
                <c:pt idx="2">
                  <c:v>5.6</c:v>
                </c:pt>
                <c:pt idx="3">
                  <c:v>7.6</c:v>
                </c:pt>
                <c:pt idx="4">
                  <c:v>9.6</c:v>
                </c:pt>
                <c:pt idx="5">
                  <c:v>11.6</c:v>
                </c:pt>
                <c:pt idx="6">
                  <c:v>21.6</c:v>
                </c:pt>
                <c:pt idx="7">
                  <c:v>#N/A</c:v>
                </c:pt>
              </c:numCache>
            </c:numRef>
          </c:xVal>
          <c:yVal>
            <c:numRef>
              <c:f>Bilan!$C$60:$J$60</c:f>
              <c:numCache>
                <c:formatCode>General</c:formatCode>
                <c:ptCount val="8"/>
                <c:pt idx="0">
                  <c:v>1.6</c:v>
                </c:pt>
                <c:pt idx="1">
                  <c:v>3.6</c:v>
                </c:pt>
                <c:pt idx="2">
                  <c:v>5.6</c:v>
                </c:pt>
                <c:pt idx="3">
                  <c:v>7.6</c:v>
                </c:pt>
                <c:pt idx="4">
                  <c:v>9.6</c:v>
                </c:pt>
                <c:pt idx="5">
                  <c:v>11.6</c:v>
                </c:pt>
                <c:pt idx="6">
                  <c:v>21.6</c:v>
                </c:pt>
                <c:pt idx="7">
                  <c:v>#N/A</c:v>
                </c:pt>
              </c:numCache>
            </c:numRef>
          </c:yVal>
          <c:smooth val="0"/>
          <c:extLst>
            <c:ext xmlns:c16="http://schemas.microsoft.com/office/drawing/2014/chart" uri="{C3380CC4-5D6E-409C-BE32-E72D297353CC}">
              <c16:uniqueId val="{00000001-8D92-4638-8A73-76D59A489A61}"/>
            </c:ext>
          </c:extLst>
        </c:ser>
        <c:dLbls>
          <c:showLegendKey val="0"/>
          <c:showVal val="0"/>
          <c:showCatName val="0"/>
          <c:showSerName val="0"/>
          <c:showPercent val="0"/>
          <c:showBubbleSize val="0"/>
        </c:dLbls>
        <c:axId val="153216896"/>
        <c:axId val="153227264"/>
      </c:scatterChart>
      <c:valAx>
        <c:axId val="153216896"/>
        <c:scaling>
          <c:orientation val="minMax"/>
        </c:scaling>
        <c:delete val="0"/>
        <c:axPos val="b"/>
        <c:title>
          <c:tx>
            <c:strRef>
              <c:f>Bilan!$B$6</c:f>
              <c:strCache>
                <c:ptCount val="1"/>
                <c:pt idx="0">
                  <c:v>Valeur de référence</c:v>
                </c:pt>
              </c:strCache>
            </c:strRef>
          </c:tx>
          <c:overlay val="0"/>
        </c:title>
        <c:numFmt formatCode="0.0" sourceLinked="0"/>
        <c:majorTickMark val="out"/>
        <c:minorTickMark val="none"/>
        <c:tickLblPos val="nextTo"/>
        <c:crossAx val="153227264"/>
        <c:crosses val="autoZero"/>
        <c:crossBetween val="midCat"/>
      </c:valAx>
      <c:valAx>
        <c:axId val="153227264"/>
        <c:scaling>
          <c:orientation val="minMax"/>
        </c:scaling>
        <c:delete val="0"/>
        <c:axPos val="l"/>
        <c:title>
          <c:tx>
            <c:strRef>
              <c:f>Bilan!$B$7</c:f>
              <c:strCache>
                <c:ptCount val="1"/>
                <c:pt idx="0">
                  <c:v>Moyenne niveau</c:v>
                </c:pt>
              </c:strCache>
            </c:strRef>
          </c:tx>
          <c:overlay val="0"/>
          <c:txPr>
            <a:bodyPr rot="-5400000" vert="horz"/>
            <a:lstStyle/>
            <a:p>
              <a:pPr>
                <a:defRPr/>
              </a:pPr>
              <a:endParaRPr lang="fr-FR"/>
            </a:p>
          </c:txPr>
        </c:title>
        <c:numFmt formatCode="#,##0.0" sourceLinked="0"/>
        <c:majorTickMark val="out"/>
        <c:minorTickMark val="none"/>
        <c:tickLblPos val="nextTo"/>
        <c:crossAx val="153216896"/>
        <c:crosses val="autoZero"/>
        <c:crossBetween val="midCat"/>
      </c:valAx>
    </c:plotArea>
    <c:legend>
      <c:legendPos val="r"/>
      <c:legendEntry>
        <c:idx val="2"/>
        <c:delete val="1"/>
      </c:legendEntry>
      <c:legendEntry>
        <c:idx val="3"/>
        <c:delete val="1"/>
      </c:legendEntry>
      <c:layout>
        <c:manualLayout>
          <c:xMode val="edge"/>
          <c:yMode val="edge"/>
          <c:x val="0.78623207483679924"/>
          <c:y val="0.64844972381572441"/>
          <c:w val="0.21185048791977923"/>
          <c:h val="8.5298152083563658E-2"/>
        </c:manualLayout>
      </c:layout>
      <c:overlay val="0"/>
      <c:txPr>
        <a:bodyPr/>
        <a:lstStyle/>
        <a:p>
          <a:pPr>
            <a:defRPr sz="1200"/>
          </a:pPr>
          <a:endParaRPr lang="fr-FR"/>
        </a:p>
      </c:txPr>
    </c:legend>
    <c:plotVisOnly val="1"/>
    <c:dispBlanksAs val="gap"/>
    <c:showDLblsOverMax val="0"/>
  </c:chart>
  <c:txPr>
    <a:bodyPr/>
    <a:lstStyle/>
    <a:p>
      <a:pPr>
        <a:defRPr sz="1800" b="0"/>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296189527390341"/>
          <c:y val="9.6439421406183834E-2"/>
          <c:w val="0.77661950199139962"/>
          <c:h val="0.83123093040015994"/>
        </c:manualLayout>
      </c:layout>
      <c:scatterChart>
        <c:scatterStyle val="lineMarker"/>
        <c:varyColors val="0"/>
        <c:ser>
          <c:idx val="3"/>
          <c:order val="0"/>
          <c:tx>
            <c:strRef>
              <c:f>Bilan!$B$55</c:f>
              <c:strCache>
                <c:ptCount val="1"/>
                <c:pt idx="0">
                  <c:v>Limite basse incertitude relative (%)</c:v>
                </c:pt>
              </c:strCache>
            </c:strRef>
          </c:tx>
          <c:spPr>
            <a:ln w="25400">
              <a:solidFill>
                <a:srgbClr val="33CC33"/>
              </a:solidFill>
              <a:prstDash val="sysDot"/>
            </a:ln>
          </c:spPr>
          <c:marker>
            <c:symbol val="none"/>
          </c:marker>
          <c:xVal>
            <c:numRef>
              <c:f>Bilan!$C$51:$I$51</c:f>
              <c:numCache>
                <c:formatCode>General</c:formatCode>
                <c:ptCount val="7"/>
                <c:pt idx="0">
                  <c:v>1.6</c:v>
                </c:pt>
                <c:pt idx="1">
                  <c:v>3.6</c:v>
                </c:pt>
                <c:pt idx="2">
                  <c:v>5.6</c:v>
                </c:pt>
                <c:pt idx="3">
                  <c:v>7.6</c:v>
                </c:pt>
                <c:pt idx="4">
                  <c:v>9.6</c:v>
                </c:pt>
                <c:pt idx="5">
                  <c:v>11.6</c:v>
                </c:pt>
                <c:pt idx="6">
                  <c:v>21.6</c:v>
                </c:pt>
              </c:numCache>
            </c:numRef>
          </c:xVal>
          <c:yVal>
            <c:numRef>
              <c:f>Bilan!$C$55:$I$55</c:f>
              <c:numCache>
                <c:formatCode>0.00%</c:formatCode>
                <c:ptCount val="7"/>
                <c:pt idx="0">
                  <c:v>0.50589411559869091</c:v>
                </c:pt>
                <c:pt idx="1">
                  <c:v>0.79166666666666652</c:v>
                </c:pt>
                <c:pt idx="2">
                  <c:v>0.820315966093767</c:v>
                </c:pt>
                <c:pt idx="3">
                  <c:v>0.82285642081794386</c:v>
                </c:pt>
                <c:pt idx="4">
                  <c:v>0.84859956402345182</c:v>
                </c:pt>
                <c:pt idx="5">
                  <c:v>0.86200163281394726</c:v>
                </c:pt>
                <c:pt idx="6">
                  <c:v>0.89229268403581619</c:v>
                </c:pt>
              </c:numCache>
            </c:numRef>
          </c:yVal>
          <c:smooth val="0"/>
          <c:extLst>
            <c:ext xmlns:c16="http://schemas.microsoft.com/office/drawing/2014/chart" uri="{C3380CC4-5D6E-409C-BE32-E72D297353CC}">
              <c16:uniqueId val="{00000000-E69C-4B44-8055-720FC6C0209D}"/>
            </c:ext>
          </c:extLst>
        </c:ser>
        <c:ser>
          <c:idx val="0"/>
          <c:order val="1"/>
          <c:tx>
            <c:strRef>
              <c:f>Bilan!$B$56</c:f>
              <c:strCache>
                <c:ptCount val="1"/>
                <c:pt idx="0">
                  <c:v>Limite haute incertitude relative (%)</c:v>
                </c:pt>
              </c:strCache>
            </c:strRef>
          </c:tx>
          <c:spPr>
            <a:ln w="25400">
              <a:solidFill>
                <a:srgbClr val="00B050"/>
              </a:solidFill>
              <a:prstDash val="sysDot"/>
            </a:ln>
          </c:spPr>
          <c:marker>
            <c:symbol val="none"/>
          </c:marker>
          <c:xVal>
            <c:numRef>
              <c:f>Bilan!$C$51:$I$51</c:f>
              <c:numCache>
                <c:formatCode>General</c:formatCode>
                <c:ptCount val="7"/>
                <c:pt idx="0">
                  <c:v>1.6</c:v>
                </c:pt>
                <c:pt idx="1">
                  <c:v>3.6</c:v>
                </c:pt>
                <c:pt idx="2">
                  <c:v>5.6</c:v>
                </c:pt>
                <c:pt idx="3">
                  <c:v>7.6</c:v>
                </c:pt>
                <c:pt idx="4">
                  <c:v>9.6</c:v>
                </c:pt>
                <c:pt idx="5">
                  <c:v>11.6</c:v>
                </c:pt>
                <c:pt idx="6">
                  <c:v>21.6</c:v>
                </c:pt>
              </c:numCache>
            </c:numRef>
          </c:xVal>
          <c:yVal>
            <c:numRef>
              <c:f>Bilan!$C$56:$I$56</c:f>
              <c:numCache>
                <c:formatCode>0.00%</c:formatCode>
                <c:ptCount val="7"/>
                <c:pt idx="0">
                  <c:v>1.4941058844013091</c:v>
                </c:pt>
                <c:pt idx="1">
                  <c:v>1.2083333333333335</c:v>
                </c:pt>
                <c:pt idx="2">
                  <c:v>1.1796840339062331</c:v>
                </c:pt>
                <c:pt idx="3">
                  <c:v>1.1771435791820561</c:v>
                </c:pt>
                <c:pt idx="4">
                  <c:v>1.1514004359765482</c:v>
                </c:pt>
                <c:pt idx="5">
                  <c:v>1.1379983671860527</c:v>
                </c:pt>
                <c:pt idx="6">
                  <c:v>1.1077073159641837</c:v>
                </c:pt>
              </c:numCache>
            </c:numRef>
          </c:yVal>
          <c:smooth val="0"/>
          <c:extLst>
            <c:ext xmlns:c16="http://schemas.microsoft.com/office/drawing/2014/chart" uri="{C3380CC4-5D6E-409C-BE32-E72D297353CC}">
              <c16:uniqueId val="{00000001-E69C-4B44-8055-720FC6C0209D}"/>
            </c:ext>
          </c:extLst>
        </c:ser>
        <c:dLbls>
          <c:showLegendKey val="0"/>
          <c:showVal val="0"/>
          <c:showCatName val="0"/>
          <c:showSerName val="0"/>
          <c:showPercent val="0"/>
          <c:showBubbleSize val="0"/>
        </c:dLbls>
        <c:axId val="153187072"/>
        <c:axId val="153188992"/>
      </c:scatterChart>
      <c:valAx>
        <c:axId val="153187072"/>
        <c:scaling>
          <c:orientation val="minMax"/>
        </c:scaling>
        <c:delete val="0"/>
        <c:axPos val="b"/>
        <c:title>
          <c:tx>
            <c:strRef>
              <c:f>Bilan!$B$5</c:f>
              <c:strCache>
                <c:ptCount val="1"/>
                <c:pt idx="0">
                  <c:v>Niveau</c:v>
                </c:pt>
              </c:strCache>
            </c:strRef>
          </c:tx>
          <c:overlay val="0"/>
        </c:title>
        <c:numFmt formatCode="0" sourceLinked="0"/>
        <c:majorTickMark val="out"/>
        <c:minorTickMark val="out"/>
        <c:tickLblPos val="nextTo"/>
        <c:crossAx val="153188992"/>
        <c:crossesAt val="1"/>
        <c:crossBetween val="midCat"/>
      </c:valAx>
      <c:valAx>
        <c:axId val="153188992"/>
        <c:scaling>
          <c:orientation val="minMax"/>
        </c:scaling>
        <c:delete val="0"/>
        <c:axPos val="l"/>
        <c:title>
          <c:tx>
            <c:strRef>
              <c:f>Bilan!$B$27</c:f>
              <c:strCache>
                <c:ptCount val="1"/>
                <c:pt idx="0">
                  <c:v>Incertitude relative (%)</c:v>
                </c:pt>
              </c:strCache>
            </c:strRef>
          </c:tx>
          <c:layout>
            <c:manualLayout>
              <c:xMode val="edge"/>
              <c:yMode val="edge"/>
              <c:x val="2.0899851158650871E-2"/>
              <c:y val="0.32212341733505123"/>
            </c:manualLayout>
          </c:layout>
          <c:overlay val="0"/>
          <c:txPr>
            <a:bodyPr rot="-5400000" vert="horz"/>
            <a:lstStyle/>
            <a:p>
              <a:pPr>
                <a:defRPr/>
              </a:pPr>
              <a:endParaRPr lang="fr-FR"/>
            </a:p>
          </c:txPr>
        </c:title>
        <c:numFmt formatCode="0%" sourceLinked="0"/>
        <c:majorTickMark val="out"/>
        <c:minorTickMark val="in"/>
        <c:tickLblPos val="nextTo"/>
        <c:crossAx val="153187072"/>
        <c:crossesAt val="0"/>
        <c:crossBetween val="midCat"/>
      </c:valAx>
      <c:spPr>
        <a:noFill/>
        <a:ln w="25400">
          <a:noFill/>
        </a:ln>
      </c:spPr>
    </c:plotArea>
    <c:legend>
      <c:legendPos val="t"/>
      <c:layout>
        <c:manualLayout>
          <c:xMode val="edge"/>
          <c:yMode val="edge"/>
          <c:x val="0.17890792876980241"/>
          <c:y val="2.0863275118572045E-2"/>
          <c:w val="0.77230344389063454"/>
          <c:h val="4.7911202528040972E-2"/>
        </c:manualLayout>
      </c:layout>
      <c:overlay val="0"/>
      <c:spPr>
        <a:noFill/>
        <a:ln>
          <a:noFill/>
        </a:ln>
      </c:spPr>
      <c:txPr>
        <a:bodyPr/>
        <a:lstStyle/>
        <a:p>
          <a:pPr>
            <a:defRPr sz="1400"/>
          </a:pPr>
          <a:endParaRPr lang="fr-FR"/>
        </a:p>
      </c:txPr>
    </c:legend>
    <c:plotVisOnly val="1"/>
    <c:dispBlanksAs val="gap"/>
    <c:showDLblsOverMax val="0"/>
  </c:chart>
  <c:spPr>
    <a:noFill/>
  </c:spPr>
  <c:txPr>
    <a:bodyPr/>
    <a:lstStyle/>
    <a:p>
      <a:pPr>
        <a:defRPr sz="1800" b="0">
          <a:latin typeface="+mn-lt"/>
          <a:ea typeface="Verdana" pitchFamily="34" charset="0"/>
          <a:cs typeface="Verdana" pitchFamily="34" charset="0"/>
        </a:defRPr>
      </a:pPr>
      <a:endParaRPr lang="fr-FR"/>
    </a:p>
  </c:txPr>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chartsheets/sheet1.xml><?xml version="1.0" encoding="utf-8"?>
<chartsheet xmlns="http://schemas.openxmlformats.org/spreadsheetml/2006/main" xmlns:r="http://schemas.openxmlformats.org/officeDocument/2006/relationships">
  <sheetPr codeName="Graph2">
    <tabColor theme="4" tint="0.39997558519241921"/>
  </sheetPr>
  <sheetViews>
    <sheetView workbookViewId="0"/>
  </sheetViews>
  <pageMargins left="0.7" right="0.7" top="0.75" bottom="0.75" header="0.3" footer="0.3"/>
  <pageSetup paperSize="9" orientation="landscape" r:id="rId1"/>
  <headerFooter alignWithMargins="0"/>
  <drawing r:id="rId2"/>
</chartsheet>
</file>

<file path=xl/chartsheets/sheet2.xml><?xml version="1.0" encoding="utf-8"?>
<chartsheet xmlns="http://schemas.openxmlformats.org/spreadsheetml/2006/main" xmlns:r="http://schemas.openxmlformats.org/officeDocument/2006/relationships">
  <sheetPr codeName="Graph3">
    <tabColor theme="4" tint="-0.499984740745262"/>
  </sheetPr>
  <sheetViews>
    <sheetView workbookViewId="0"/>
  </sheetViews>
  <pageMargins left="0.7" right="0.7" top="0.75" bottom="0.75" header="0.3" footer="0.3"/>
  <drawing r:id="rId1"/>
</chartsheet>
</file>

<file path=xl/chartsheets/sheet3.xml><?xml version="1.0" encoding="utf-8"?>
<chartsheet xmlns="http://schemas.openxmlformats.org/spreadsheetml/2006/main" xmlns:r="http://schemas.openxmlformats.org/officeDocument/2006/relationships">
  <sheetPr codeName="Graph1">
    <tabColor theme="4" tint="-0.249977111117893"/>
  </sheetPr>
  <sheetViews>
    <sheetView workbookViewId="0"/>
  </sheetViews>
  <pageMargins left="0.7" right="0.7" top="0.75" bottom="0.75" header="0.3" footer="0.3"/>
  <pageSetup paperSize="9" orientation="landscape" r:id="rId1"/>
  <drawing r:id="rId2"/>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8" Type="http://schemas.openxmlformats.org/officeDocument/2006/relationships/image" Target="../media/image8.tmp"/><Relationship Id="rId3" Type="http://schemas.openxmlformats.org/officeDocument/2006/relationships/image" Target="../media/image3.tmp"/><Relationship Id="rId7" Type="http://schemas.openxmlformats.org/officeDocument/2006/relationships/image" Target="../media/image7.tmp"/><Relationship Id="rId2" Type="http://schemas.openxmlformats.org/officeDocument/2006/relationships/image" Target="../media/image2.tmp"/><Relationship Id="rId1" Type="http://schemas.openxmlformats.org/officeDocument/2006/relationships/image" Target="../media/image1.tmp"/><Relationship Id="rId6" Type="http://schemas.openxmlformats.org/officeDocument/2006/relationships/image" Target="../media/image6.tmp"/><Relationship Id="rId5" Type="http://schemas.openxmlformats.org/officeDocument/2006/relationships/image" Target="../media/image5.tmp"/><Relationship Id="rId4" Type="http://schemas.openxmlformats.org/officeDocument/2006/relationships/image" Target="../media/image4.tmp"/></Relationships>
</file>

<file path=xl/drawings/_rels/drawing5.xml.rels><?xml version="1.0" encoding="UTF-8" standalone="yes"?>
<Relationships xmlns="http://schemas.openxmlformats.org/package/2006/relationships"><Relationship Id="rId1" Type="http://schemas.openxmlformats.org/officeDocument/2006/relationships/image" Target="../media/image9.tmp"/></Relationships>
</file>

<file path=xl/drawings/_rels/drawing6.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absoluteAnchor>
    <xdr:pos x="0" y="0"/>
    <xdr:ext cx="9286875" cy="6086475"/>
    <xdr:graphicFrame macro="">
      <xdr:nvGraphicFramePr>
        <xdr:cNvPr id="2" name="Graphique 1">
          <a:extLst>
            <a:ext uri="{FF2B5EF4-FFF2-40B4-BE49-F238E27FC236}">
              <a16:creationId xmlns:a16="http://schemas.microsoft.com/office/drawing/2014/main" id="{00000000-0008-0000-03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absoluteAnchor>
    <xdr:pos x="0" y="0"/>
    <xdr:ext cx="9286875" cy="6105525"/>
    <xdr:graphicFrame macro="">
      <xdr:nvGraphicFramePr>
        <xdr:cNvPr id="2" name="Graphique 1">
          <a:extLst>
            <a:ext uri="{FF2B5EF4-FFF2-40B4-BE49-F238E27FC236}">
              <a16:creationId xmlns:a16="http://schemas.microsoft.com/office/drawing/2014/main" id="{00000000-0008-0000-05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absoluteAnchor>
    <xdr:pos x="3329668" y="224517"/>
    <xdr:ext cx="9286875" cy="6105525"/>
    <xdr:graphicFrame macro="">
      <xdr:nvGraphicFramePr>
        <xdr:cNvPr id="2" name="Graphique 1">
          <a:extLst>
            <a:ext uri="{FF2B5EF4-FFF2-40B4-BE49-F238E27FC236}">
              <a16:creationId xmlns:a16="http://schemas.microsoft.com/office/drawing/2014/main" id="{69B93DB3-4572-4F70-94BA-BEBB06ACDA2A}"/>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4.xml><?xml version="1.0" encoding="utf-8"?>
<xdr:wsDr xmlns:xdr="http://schemas.openxmlformats.org/drawingml/2006/spreadsheetDrawing" xmlns:a="http://schemas.openxmlformats.org/drawingml/2006/main">
  <xdr:twoCellAnchor editAs="oneCell">
    <xdr:from>
      <xdr:col>1</xdr:col>
      <xdr:colOff>47625</xdr:colOff>
      <xdr:row>51</xdr:row>
      <xdr:rowOff>38102</xdr:rowOff>
    </xdr:from>
    <xdr:to>
      <xdr:col>3</xdr:col>
      <xdr:colOff>1314449</xdr:colOff>
      <xdr:row>65</xdr:row>
      <xdr:rowOff>95250</xdr:rowOff>
    </xdr:to>
    <xdr:pic>
      <xdr:nvPicPr>
        <xdr:cNvPr id="6" name="Image 5" descr="Capture d’écran">
          <a:extLst>
            <a:ext uri="{FF2B5EF4-FFF2-40B4-BE49-F238E27FC236}">
              <a16:creationId xmlns:a16="http://schemas.microsoft.com/office/drawing/2014/main" id="{00000000-0008-0000-0C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47850" y="5876927"/>
          <a:ext cx="2943225" cy="2057398"/>
        </a:xfrm>
        <a:prstGeom prst="rect">
          <a:avLst/>
        </a:prstGeom>
      </xdr:spPr>
    </xdr:pic>
    <xdr:clientData/>
  </xdr:twoCellAnchor>
  <xdr:twoCellAnchor editAs="oneCell">
    <xdr:from>
      <xdr:col>1</xdr:col>
      <xdr:colOff>38101</xdr:colOff>
      <xdr:row>36</xdr:row>
      <xdr:rowOff>47625</xdr:rowOff>
    </xdr:from>
    <xdr:to>
      <xdr:col>3</xdr:col>
      <xdr:colOff>1314450</xdr:colOff>
      <xdr:row>50</xdr:row>
      <xdr:rowOff>104774</xdr:rowOff>
    </xdr:to>
    <xdr:pic>
      <xdr:nvPicPr>
        <xdr:cNvPr id="10" name="Image 9" descr="Capture d’écran">
          <a:extLst>
            <a:ext uri="{FF2B5EF4-FFF2-40B4-BE49-F238E27FC236}">
              <a16:creationId xmlns:a16="http://schemas.microsoft.com/office/drawing/2014/main" id="{00000000-0008-0000-0C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38326" y="3733800"/>
          <a:ext cx="2952750" cy="2057399"/>
        </a:xfrm>
        <a:prstGeom prst="rect">
          <a:avLst/>
        </a:prstGeom>
      </xdr:spPr>
    </xdr:pic>
    <xdr:clientData/>
  </xdr:twoCellAnchor>
  <xdr:twoCellAnchor editAs="oneCell">
    <xdr:from>
      <xdr:col>1</xdr:col>
      <xdr:colOff>47625</xdr:colOff>
      <xdr:row>66</xdr:row>
      <xdr:rowOff>43071</xdr:rowOff>
    </xdr:from>
    <xdr:to>
      <xdr:col>3</xdr:col>
      <xdr:colOff>1295399</xdr:colOff>
      <xdr:row>80</xdr:row>
      <xdr:rowOff>95250</xdr:rowOff>
    </xdr:to>
    <xdr:pic>
      <xdr:nvPicPr>
        <xdr:cNvPr id="11" name="Image 10" descr="Capture d’écran">
          <a:extLst>
            <a:ext uri="{FF2B5EF4-FFF2-40B4-BE49-F238E27FC236}">
              <a16:creationId xmlns:a16="http://schemas.microsoft.com/office/drawing/2014/main" id="{00000000-0008-0000-0C00-00000B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133600" y="8034546"/>
          <a:ext cx="2924175" cy="2052429"/>
        </a:xfrm>
        <a:prstGeom prst="rect">
          <a:avLst/>
        </a:prstGeom>
      </xdr:spPr>
    </xdr:pic>
    <xdr:clientData/>
  </xdr:twoCellAnchor>
  <xdr:twoCellAnchor editAs="oneCell">
    <xdr:from>
      <xdr:col>1</xdr:col>
      <xdr:colOff>43897</xdr:colOff>
      <xdr:row>21</xdr:row>
      <xdr:rowOff>38100</xdr:rowOff>
    </xdr:from>
    <xdr:to>
      <xdr:col>3</xdr:col>
      <xdr:colOff>1323974</xdr:colOff>
      <xdr:row>35</xdr:row>
      <xdr:rowOff>114300</xdr:rowOff>
    </xdr:to>
    <xdr:pic>
      <xdr:nvPicPr>
        <xdr:cNvPr id="12" name="Image 11" descr="Capture d’écran">
          <a:extLst>
            <a:ext uri="{FF2B5EF4-FFF2-40B4-BE49-F238E27FC236}">
              <a16:creationId xmlns:a16="http://schemas.microsoft.com/office/drawing/2014/main" id="{00000000-0008-0000-0C00-00000C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844122" y="1571625"/>
          <a:ext cx="2956478" cy="2076450"/>
        </a:xfrm>
        <a:prstGeom prst="rect">
          <a:avLst/>
        </a:prstGeom>
      </xdr:spPr>
    </xdr:pic>
    <xdr:clientData/>
  </xdr:twoCellAnchor>
  <xdr:twoCellAnchor editAs="oneCell">
    <xdr:from>
      <xdr:col>7</xdr:col>
      <xdr:colOff>57151</xdr:colOff>
      <xdr:row>21</xdr:row>
      <xdr:rowOff>38100</xdr:rowOff>
    </xdr:from>
    <xdr:to>
      <xdr:col>9</xdr:col>
      <xdr:colOff>1095376</xdr:colOff>
      <xdr:row>35</xdr:row>
      <xdr:rowOff>114299</xdr:rowOff>
    </xdr:to>
    <xdr:pic>
      <xdr:nvPicPr>
        <xdr:cNvPr id="3" name="Image 2" descr="Capture d’écran">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7400926" y="1571625"/>
          <a:ext cx="2714624" cy="2076449"/>
        </a:xfrm>
        <a:prstGeom prst="rect">
          <a:avLst/>
        </a:prstGeom>
      </xdr:spPr>
    </xdr:pic>
    <xdr:clientData/>
  </xdr:twoCellAnchor>
  <xdr:twoCellAnchor editAs="oneCell">
    <xdr:from>
      <xdr:col>7</xdr:col>
      <xdr:colOff>57151</xdr:colOff>
      <xdr:row>51</xdr:row>
      <xdr:rowOff>47626</xdr:rowOff>
    </xdr:from>
    <xdr:to>
      <xdr:col>9</xdr:col>
      <xdr:colOff>1095376</xdr:colOff>
      <xdr:row>65</xdr:row>
      <xdr:rowOff>57150</xdr:rowOff>
    </xdr:to>
    <xdr:pic>
      <xdr:nvPicPr>
        <xdr:cNvPr id="7" name="Image 6" descr="Capture d’écran">
          <a:extLst>
            <a:ext uri="{FF2B5EF4-FFF2-40B4-BE49-F238E27FC236}">
              <a16:creationId xmlns:a16="http://schemas.microsoft.com/office/drawing/2014/main" id="{00000000-0008-0000-0C00-000007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7400926" y="5886451"/>
          <a:ext cx="2714624" cy="2009774"/>
        </a:xfrm>
        <a:prstGeom prst="rect">
          <a:avLst/>
        </a:prstGeom>
      </xdr:spPr>
    </xdr:pic>
    <xdr:clientData/>
  </xdr:twoCellAnchor>
  <xdr:twoCellAnchor editAs="oneCell">
    <xdr:from>
      <xdr:col>7</xdr:col>
      <xdr:colOff>38102</xdr:colOff>
      <xdr:row>36</xdr:row>
      <xdr:rowOff>45958</xdr:rowOff>
    </xdr:from>
    <xdr:to>
      <xdr:col>9</xdr:col>
      <xdr:colOff>1095376</xdr:colOff>
      <xdr:row>50</xdr:row>
      <xdr:rowOff>133349</xdr:rowOff>
    </xdr:to>
    <xdr:pic>
      <xdr:nvPicPr>
        <xdr:cNvPr id="8" name="Image 7" descr="Capture d’écran">
          <a:extLst>
            <a:ext uri="{FF2B5EF4-FFF2-40B4-BE49-F238E27FC236}">
              <a16:creationId xmlns:a16="http://schemas.microsoft.com/office/drawing/2014/main" id="{00000000-0008-0000-0C00-000008000000}"/>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7381877" y="3732133"/>
          <a:ext cx="2733673" cy="2087641"/>
        </a:xfrm>
        <a:prstGeom prst="rect">
          <a:avLst/>
        </a:prstGeom>
      </xdr:spPr>
    </xdr:pic>
    <xdr:clientData/>
  </xdr:twoCellAnchor>
  <xdr:twoCellAnchor editAs="oneCell">
    <xdr:from>
      <xdr:col>7</xdr:col>
      <xdr:colOff>28577</xdr:colOff>
      <xdr:row>66</xdr:row>
      <xdr:rowOff>38099</xdr:rowOff>
    </xdr:from>
    <xdr:to>
      <xdr:col>9</xdr:col>
      <xdr:colOff>1104901</xdr:colOff>
      <xdr:row>80</xdr:row>
      <xdr:rowOff>83942</xdr:rowOff>
    </xdr:to>
    <xdr:pic>
      <xdr:nvPicPr>
        <xdr:cNvPr id="9" name="Image 8" descr="Capture d’écran">
          <a:extLst>
            <a:ext uri="{FF2B5EF4-FFF2-40B4-BE49-F238E27FC236}">
              <a16:creationId xmlns:a16="http://schemas.microsoft.com/office/drawing/2014/main" id="{00000000-0008-0000-0C00-00000900000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7372352" y="8029574"/>
          <a:ext cx="2752723" cy="204609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374418</xdr:colOff>
      <xdr:row>9</xdr:row>
      <xdr:rowOff>51321</xdr:rowOff>
    </xdr:from>
    <xdr:to>
      <xdr:col>8</xdr:col>
      <xdr:colOff>238125</xdr:colOff>
      <xdr:row>21</xdr:row>
      <xdr:rowOff>100541</xdr:rowOff>
    </xdr:to>
    <xdr:pic>
      <xdr:nvPicPr>
        <xdr:cNvPr id="4" name="Image 3" descr="Capture d’écran"/>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851293" y="1432446"/>
          <a:ext cx="4030895" cy="233522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absoluteAnchor>
    <xdr:pos x="0" y="0"/>
    <xdr:ext cx="9286875" cy="6086475"/>
    <xdr:graphicFrame macro="">
      <xdr:nvGraphicFramePr>
        <xdr:cNvPr id="2" name="Graphique 1">
          <a:extLst>
            <a:ext uri="{FF2B5EF4-FFF2-40B4-BE49-F238E27FC236}">
              <a16:creationId xmlns:a16="http://schemas.microsoft.com/office/drawing/2014/main" id="{00000000-0008-0000-04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Documents%20and%20Settings\RDAeschlJM\My%20Documents\N_to_31dec03\STAT_GEN\Regression\Regression%20-%20RD030xxx\REGasch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G"/>
    </sheetNames>
    <sheetDataSet>
      <sheetData sheetId="0">
        <row r="3">
          <cell r="A3">
            <v>1</v>
          </cell>
          <cell r="B3">
            <v>4.4000000000000004</v>
          </cell>
          <cell r="C3">
            <v>2.5499999999999998</v>
          </cell>
          <cell r="D3">
            <v>2.1457030266881341</v>
          </cell>
          <cell r="E3">
            <v>-2.8175249779558258</v>
          </cell>
        </row>
        <row r="4">
          <cell r="A4">
            <v>2</v>
          </cell>
          <cell r="B4">
            <v>4.7</v>
          </cell>
          <cell r="C4">
            <v>3.55</v>
          </cell>
          <cell r="D4">
            <v>2.3298603044346251</v>
          </cell>
          <cell r="E4">
            <v>-2.2426711054017554</v>
          </cell>
        </row>
        <row r="5">
          <cell r="A5">
            <v>3</v>
          </cell>
          <cell r="B5">
            <v>4.95</v>
          </cell>
          <cell r="C5">
            <v>2.1</v>
          </cell>
          <cell r="D5">
            <v>2.4833247025567013</v>
          </cell>
          <cell r="E5">
            <v>-1.7636262116066965</v>
          </cell>
        </row>
        <row r="6">
          <cell r="A6">
            <v>4</v>
          </cell>
          <cell r="B6">
            <v>5.05</v>
          </cell>
          <cell r="C6">
            <v>3.05</v>
          </cell>
          <cell r="D6">
            <v>2.5447104618055314</v>
          </cell>
          <cell r="E6">
            <v>-1.5720082540886737</v>
          </cell>
        </row>
        <row r="7">
          <cell r="A7">
            <v>5</v>
          </cell>
          <cell r="B7">
            <v>5.8</v>
          </cell>
          <cell r="C7">
            <v>2.1</v>
          </cell>
          <cell r="D7">
            <v>3.0051036561717597</v>
          </cell>
          <cell r="E7">
            <v>-0.1348735727034972</v>
          </cell>
        </row>
        <row r="8">
          <cell r="A8">
            <v>6</v>
          </cell>
          <cell r="B8">
            <v>5.8</v>
          </cell>
          <cell r="C8">
            <v>3.6</v>
          </cell>
          <cell r="D8">
            <v>3.0051036561717597</v>
          </cell>
          <cell r="E8">
            <v>-0.1348735727034972</v>
          </cell>
        </row>
        <row r="9">
          <cell r="A9">
            <v>7</v>
          </cell>
          <cell r="B9">
            <v>5.8</v>
          </cell>
          <cell r="C9">
            <v>4.95</v>
          </cell>
          <cell r="D9">
            <v>3.0051036561717597</v>
          </cell>
          <cell r="E9">
            <v>-0.1348735727034972</v>
          </cell>
        </row>
        <row r="10">
          <cell r="A10">
            <v>8</v>
          </cell>
          <cell r="B10">
            <v>5.9</v>
          </cell>
          <cell r="C10">
            <v>3.55</v>
          </cell>
          <cell r="D10">
            <v>3.0664894154205906</v>
          </cell>
          <cell r="E10">
            <v>5.6744384814527371E-2</v>
          </cell>
        </row>
        <row r="11">
          <cell r="A11">
            <v>9</v>
          </cell>
          <cell r="B11">
            <v>5.98</v>
          </cell>
          <cell r="C11">
            <v>1.4</v>
          </cell>
          <cell r="D11">
            <v>3.1155980228196549</v>
          </cell>
          <cell r="E11">
            <v>0.21003875082894635</v>
          </cell>
          <cell r="G11" t="str">
            <v>x|y</v>
          </cell>
        </row>
        <row r="12">
          <cell r="A12">
            <v>10</v>
          </cell>
          <cell r="B12">
            <v>6.15</v>
          </cell>
          <cell r="C12">
            <v>0</v>
          </cell>
          <cell r="D12">
            <v>3.2199538135426664</v>
          </cell>
          <cell r="E12">
            <v>0.53578927860958625</v>
          </cell>
        </row>
        <row r="13">
          <cell r="A13">
            <v>11</v>
          </cell>
          <cell r="B13">
            <v>6.4</v>
          </cell>
          <cell r="C13">
            <v>4.7</v>
          </cell>
          <cell r="D13">
            <v>3.3734182116647426</v>
          </cell>
          <cell r="E13">
            <v>1.014834172404645</v>
          </cell>
        </row>
        <row r="14">
          <cell r="A14">
            <v>12</v>
          </cell>
          <cell r="B14">
            <v>6.65</v>
          </cell>
          <cell r="C14">
            <v>3.8</v>
          </cell>
          <cell r="D14">
            <v>3.5268826097868184</v>
          </cell>
          <cell r="E14">
            <v>1.4938790661997039</v>
          </cell>
        </row>
        <row r="15">
          <cell r="A15">
            <v>13</v>
          </cell>
          <cell r="B15">
            <v>6.8</v>
          </cell>
          <cell r="C15">
            <v>4.5999999999999996</v>
          </cell>
          <cell r="D15">
            <v>3.6189612486600642</v>
          </cell>
          <cell r="E15">
            <v>1.7813060024767382</v>
          </cell>
        </row>
        <row r="16">
          <cell r="A16">
            <v>14</v>
          </cell>
          <cell r="B16">
            <v>6.9</v>
          </cell>
          <cell r="C16">
            <v>5.4</v>
          </cell>
          <cell r="D16">
            <v>3.6803470079088947</v>
          </cell>
          <cell r="E16">
            <v>1.9729239599947628</v>
          </cell>
        </row>
        <row r="17">
          <cell r="A17">
            <v>15</v>
          </cell>
          <cell r="B17">
            <v>7.05</v>
          </cell>
          <cell r="C17">
            <v>2.1</v>
          </cell>
          <cell r="D17">
            <v>3.7724256467821404</v>
          </cell>
          <cell r="E17">
            <v>2.2603508962717971</v>
          </cell>
        </row>
        <row r="18">
          <cell r="A18">
            <v>16</v>
          </cell>
          <cell r="B18">
            <v>7.12</v>
          </cell>
          <cell r="C18">
            <v>0.7</v>
          </cell>
          <cell r="D18">
            <v>3.8153956782563214</v>
          </cell>
          <cell r="E18">
            <v>2.3944834665344139</v>
          </cell>
        </row>
        <row r="19">
          <cell r="A19">
            <v>17</v>
          </cell>
          <cell r="B19">
            <v>7.15</v>
          </cell>
          <cell r="C19">
            <v>0.75</v>
          </cell>
          <cell r="D19">
            <v>3.8338114060309709</v>
          </cell>
          <cell r="E19">
            <v>2.4519688537898214</v>
          </cell>
        </row>
        <row r="20">
          <cell r="A20">
            <v>18</v>
          </cell>
          <cell r="B20">
            <v>7.48</v>
          </cell>
          <cell r="C20">
            <v>3.25</v>
          </cell>
          <cell r="D20">
            <v>4.0363844115521115</v>
          </cell>
          <cell r="E20">
            <v>3.0843081135992994</v>
          </cell>
        </row>
        <row r="21">
          <cell r="A21">
            <v>19</v>
          </cell>
          <cell r="B21">
            <v>7.48</v>
          </cell>
          <cell r="C21">
            <v>5.2</v>
          </cell>
          <cell r="D21">
            <v>4.0363844115521115</v>
          </cell>
          <cell r="E21">
            <v>3.0843081135992994</v>
          </cell>
        </row>
        <row r="22">
          <cell r="A22">
            <v>20</v>
          </cell>
          <cell r="B22">
            <v>7.77</v>
          </cell>
          <cell r="C22">
            <v>3.83</v>
          </cell>
          <cell r="D22">
            <v>4.2144031133737192</v>
          </cell>
          <cell r="E22">
            <v>3.6400001904015662</v>
          </cell>
        </row>
        <row r="23">
          <cell r="A23">
            <v>24</v>
          </cell>
          <cell r="B23">
            <v>7.97</v>
          </cell>
          <cell r="C23">
            <v>6.15</v>
          </cell>
          <cell r="D23">
            <v>4.3371746318713802</v>
          </cell>
          <cell r="E23">
            <v>4.0232361054376131</v>
          </cell>
        </row>
        <row r="24">
          <cell r="A24">
            <v>22</v>
          </cell>
          <cell r="B24">
            <v>8</v>
          </cell>
          <cell r="C24">
            <v>4.5999999999999996</v>
          </cell>
          <cell r="D24">
            <v>4.3555903596460297</v>
          </cell>
          <cell r="E24">
            <v>4.0807214926930211</v>
          </cell>
        </row>
        <row r="25">
          <cell r="A25">
            <v>23</v>
          </cell>
          <cell r="B25">
            <v>8</v>
          </cell>
          <cell r="C25">
            <v>4.7</v>
          </cell>
          <cell r="D25">
            <v>4.3555903596460297</v>
          </cell>
          <cell r="E25">
            <v>4.0807214926930211</v>
          </cell>
        </row>
        <row r="26">
          <cell r="A26">
            <v>21</v>
          </cell>
          <cell r="B26">
            <v>8.1</v>
          </cell>
          <cell r="C26">
            <v>2.95</v>
          </cell>
          <cell r="D26">
            <v>4.4169761188948602</v>
          </cell>
          <cell r="E26">
            <v>4.2723394502110441</v>
          </cell>
        </row>
        <row r="27">
          <cell r="A27">
            <v>26</v>
          </cell>
          <cell r="B27">
            <v>8.1</v>
          </cell>
          <cell r="C27">
            <v>4.43</v>
          </cell>
          <cell r="D27">
            <v>4.4169761188948602</v>
          </cell>
          <cell r="E27">
            <v>4.2723394502110441</v>
          </cell>
        </row>
        <row r="28">
          <cell r="A28">
            <v>27</v>
          </cell>
          <cell r="B28">
            <v>8.1300000000000008</v>
          </cell>
          <cell r="C28">
            <v>5.05</v>
          </cell>
          <cell r="D28">
            <v>4.4353918466695097</v>
          </cell>
          <cell r="E28">
            <v>4.329824837466453</v>
          </cell>
        </row>
        <row r="29">
          <cell r="A29">
            <v>25</v>
          </cell>
          <cell r="B29">
            <v>8.15</v>
          </cell>
          <cell r="C29">
            <v>3.95</v>
          </cell>
          <cell r="D29">
            <v>4.4476689985192754</v>
          </cell>
          <cell r="E29">
            <v>4.3681484289700574</v>
          </cell>
        </row>
        <row r="30">
          <cell r="A30">
            <v>28</v>
          </cell>
          <cell r="B30">
            <v>8.1999999999999993</v>
          </cell>
          <cell r="C30">
            <v>5.6</v>
          </cell>
          <cell r="D30">
            <v>4.4783618781436898</v>
          </cell>
          <cell r="E30">
            <v>4.4639574077290671</v>
          </cell>
        </row>
        <row r="31">
          <cell r="A31">
            <v>29</v>
          </cell>
          <cell r="B31">
            <v>8.23</v>
          </cell>
          <cell r="C31">
            <v>5.65</v>
          </cell>
          <cell r="D31">
            <v>4.4967776059183402</v>
          </cell>
          <cell r="E31">
            <v>4.521442794984476</v>
          </cell>
        </row>
        <row r="32">
          <cell r="A32">
            <v>31</v>
          </cell>
          <cell r="B32">
            <v>8.35</v>
          </cell>
          <cell r="C32">
            <v>3.3</v>
          </cell>
          <cell r="D32">
            <v>4.5704405170169355</v>
          </cell>
          <cell r="E32">
            <v>4.7513843440061025</v>
          </cell>
        </row>
        <row r="33">
          <cell r="A33">
            <v>30</v>
          </cell>
          <cell r="B33">
            <v>8.3800000000000008</v>
          </cell>
          <cell r="C33">
            <v>2.1</v>
          </cell>
          <cell r="D33">
            <v>4.5888562447915859</v>
          </cell>
          <cell r="E33">
            <v>4.8088697312615123</v>
          </cell>
        </row>
        <row r="34">
          <cell r="A34">
            <v>35</v>
          </cell>
          <cell r="B34">
            <v>8.4499999999999993</v>
          </cell>
          <cell r="C34">
            <v>6.4</v>
          </cell>
          <cell r="D34">
            <v>4.631826276265766</v>
          </cell>
          <cell r="E34">
            <v>4.9430023015241256</v>
          </cell>
        </row>
        <row r="35">
          <cell r="A35">
            <v>33</v>
          </cell>
          <cell r="B35">
            <v>8.5</v>
          </cell>
          <cell r="C35">
            <v>5.85</v>
          </cell>
          <cell r="D35">
            <v>4.6625191558901822</v>
          </cell>
          <cell r="E35">
            <v>5.0388112802831388</v>
          </cell>
        </row>
        <row r="36">
          <cell r="A36">
            <v>34</v>
          </cell>
          <cell r="B36">
            <v>8.5</v>
          </cell>
          <cell r="C36">
            <v>6.35</v>
          </cell>
          <cell r="D36">
            <v>4.6625191558901822</v>
          </cell>
          <cell r="E36">
            <v>5.0388112802831388</v>
          </cell>
        </row>
        <row r="37">
          <cell r="A37">
            <v>32</v>
          </cell>
          <cell r="B37">
            <v>8.6</v>
          </cell>
          <cell r="C37">
            <v>4.2</v>
          </cell>
          <cell r="D37">
            <v>4.7239049151390118</v>
          </cell>
          <cell r="E37">
            <v>5.2304292378011619</v>
          </cell>
        </row>
        <row r="38">
          <cell r="A38">
            <v>36</v>
          </cell>
          <cell r="B38">
            <v>8.6</v>
          </cell>
          <cell r="C38">
            <v>6.2</v>
          </cell>
          <cell r="D38">
            <v>4.7239049151390118</v>
          </cell>
          <cell r="E38">
            <v>5.2304292378011619</v>
          </cell>
        </row>
        <row r="39">
          <cell r="A39">
            <v>37</v>
          </cell>
          <cell r="B39">
            <v>8.75</v>
          </cell>
          <cell r="C39">
            <v>4.7</v>
          </cell>
          <cell r="D39">
            <v>4.8159835540122575</v>
          </cell>
          <cell r="E39">
            <v>5.5178561740781973</v>
          </cell>
        </row>
        <row r="40">
          <cell r="A40">
            <v>38</v>
          </cell>
          <cell r="B40">
            <v>8.77</v>
          </cell>
          <cell r="C40">
            <v>6.3</v>
          </cell>
          <cell r="D40">
            <v>4.8282607058620242</v>
          </cell>
          <cell r="E40">
            <v>5.5561797655818017</v>
          </cell>
        </row>
        <row r="41">
          <cell r="A41">
            <v>39</v>
          </cell>
          <cell r="B41">
            <v>8.82</v>
          </cell>
          <cell r="C41">
            <v>6.4</v>
          </cell>
          <cell r="D41">
            <v>4.8589535854864394</v>
          </cell>
          <cell r="E41">
            <v>5.651988744340815</v>
          </cell>
        </row>
        <row r="42">
          <cell r="A42">
            <v>40</v>
          </cell>
          <cell r="B42">
            <v>8.83</v>
          </cell>
          <cell r="C42">
            <v>4.4000000000000004</v>
          </cell>
          <cell r="D42">
            <v>4.8650921614113223</v>
          </cell>
          <cell r="E42">
            <v>5.6711505400926168</v>
          </cell>
        </row>
        <row r="43">
          <cell r="A43">
            <v>41</v>
          </cell>
          <cell r="B43">
            <v>8.92</v>
          </cell>
          <cell r="C43">
            <v>4.1500000000000004</v>
          </cell>
          <cell r="D43">
            <v>4.9203393447352699</v>
          </cell>
          <cell r="E43">
            <v>5.8436067018588371</v>
          </cell>
        </row>
        <row r="44">
          <cell r="A44">
            <v>42</v>
          </cell>
          <cell r="B44">
            <v>9.0299999999999994</v>
          </cell>
          <cell r="C44">
            <v>4.45</v>
          </cell>
          <cell r="D44">
            <v>4.9878636799089824</v>
          </cell>
          <cell r="E44">
            <v>6.0543864551286619</v>
          </cell>
        </row>
        <row r="45">
          <cell r="A45">
            <v>43</v>
          </cell>
          <cell r="B45">
            <v>9.0500000000000007</v>
          </cell>
          <cell r="C45">
            <v>3.15</v>
          </cell>
          <cell r="D45">
            <v>5.0001408317587499</v>
          </cell>
          <cell r="E45">
            <v>6.0927100466322699</v>
          </cell>
        </row>
        <row r="46">
          <cell r="A46">
            <v>44</v>
          </cell>
          <cell r="B46">
            <v>9.06</v>
          </cell>
          <cell r="C46">
            <v>4.5999999999999996</v>
          </cell>
          <cell r="D46">
            <v>5.0062794076836328</v>
          </cell>
          <cell r="E46">
            <v>6.1118718423840717</v>
          </cell>
        </row>
        <row r="47">
          <cell r="A47">
            <v>45</v>
          </cell>
          <cell r="B47">
            <v>9.1</v>
          </cell>
          <cell r="C47">
            <v>2.75</v>
          </cell>
          <cell r="D47">
            <v>5.0308337113831643</v>
          </cell>
          <cell r="E47">
            <v>6.1885190253912796</v>
          </cell>
        </row>
        <row r="48">
          <cell r="A48">
            <v>46</v>
          </cell>
          <cell r="B48">
            <v>9.1</v>
          </cell>
          <cell r="C48">
            <v>6.6</v>
          </cell>
          <cell r="D48">
            <v>5.0308337113831643</v>
          </cell>
          <cell r="E48">
            <v>6.1885190253912796</v>
          </cell>
        </row>
        <row r="49">
          <cell r="A49">
            <v>47</v>
          </cell>
          <cell r="B49">
            <v>9.15</v>
          </cell>
          <cell r="C49">
            <v>7.37</v>
          </cell>
          <cell r="D49">
            <v>5.0615265910075795</v>
          </cell>
          <cell r="E49">
            <v>6.284328004150292</v>
          </cell>
        </row>
        <row r="50">
          <cell r="A50">
            <v>48</v>
          </cell>
          <cell r="B50">
            <v>9.1999999999999993</v>
          </cell>
          <cell r="C50">
            <v>5.13</v>
          </cell>
          <cell r="D50">
            <v>5.0922194706319948</v>
          </cell>
          <cell r="E50">
            <v>6.3801369829093018</v>
          </cell>
        </row>
        <row r="51">
          <cell r="A51">
            <v>49</v>
          </cell>
          <cell r="B51">
            <v>9.2200000000000006</v>
          </cell>
          <cell r="C51">
            <v>6</v>
          </cell>
          <cell r="D51">
            <v>5.1044966224817614</v>
          </cell>
          <cell r="E51">
            <v>6.4184605744129097</v>
          </cell>
        </row>
        <row r="52">
          <cell r="A52">
            <v>51</v>
          </cell>
          <cell r="B52">
            <v>9.35</v>
          </cell>
          <cell r="C52">
            <v>3.9</v>
          </cell>
          <cell r="D52">
            <v>5.1842981095052405</v>
          </cell>
          <cell r="E52">
            <v>6.6675639191863381</v>
          </cell>
        </row>
        <row r="53">
          <cell r="A53">
            <v>52</v>
          </cell>
          <cell r="B53">
            <v>9.43</v>
          </cell>
          <cell r="C53">
            <v>4.92</v>
          </cell>
          <cell r="D53">
            <v>5.2334067169043044</v>
          </cell>
          <cell r="E53">
            <v>6.8208582852007567</v>
          </cell>
        </row>
        <row r="54">
          <cell r="A54">
            <v>50</v>
          </cell>
          <cell r="B54">
            <v>9.4499999999999993</v>
          </cell>
          <cell r="C54">
            <v>2.8</v>
          </cell>
          <cell r="D54">
            <v>5.2456838687540701</v>
          </cell>
          <cell r="E54">
            <v>6.8591818767043611</v>
          </cell>
        </row>
        <row r="55">
          <cell r="A55">
            <v>53</v>
          </cell>
          <cell r="B55">
            <v>9.65</v>
          </cell>
          <cell r="C55">
            <v>4.45</v>
          </cell>
          <cell r="D55">
            <v>5.368455387251732</v>
          </cell>
          <cell r="E55">
            <v>7.2424177917404098</v>
          </cell>
        </row>
        <row r="56">
          <cell r="A56">
            <v>54</v>
          </cell>
          <cell r="B56">
            <v>9.67</v>
          </cell>
          <cell r="C56">
            <v>4.95</v>
          </cell>
          <cell r="D56">
            <v>5.3807325391014977</v>
          </cell>
          <cell r="E56">
            <v>7.2807413832440142</v>
          </cell>
        </row>
        <row r="57">
          <cell r="A57">
            <v>55</v>
          </cell>
          <cell r="B57">
            <v>9.67</v>
          </cell>
          <cell r="C57">
            <v>6.05</v>
          </cell>
          <cell r="D57">
            <v>5.3807325391014977</v>
          </cell>
          <cell r="E57">
            <v>7.2807413832440142</v>
          </cell>
        </row>
        <row r="58">
          <cell r="A58">
            <v>57</v>
          </cell>
          <cell r="B58">
            <v>9.68</v>
          </cell>
          <cell r="C58">
            <v>6.46</v>
          </cell>
          <cell r="D58">
            <v>5.3868711150263806</v>
          </cell>
          <cell r="E58">
            <v>7.299903178995816</v>
          </cell>
        </row>
        <row r="59">
          <cell r="A59">
            <v>56</v>
          </cell>
          <cell r="B59">
            <v>9.75</v>
          </cell>
          <cell r="C59">
            <v>6.2</v>
          </cell>
          <cell r="D59">
            <v>5.4298411465005625</v>
          </cell>
          <cell r="E59">
            <v>7.4340357492584328</v>
          </cell>
        </row>
        <row r="60">
          <cell r="A60">
            <v>58</v>
          </cell>
          <cell r="B60">
            <v>9.75</v>
          </cell>
          <cell r="C60">
            <v>7.35</v>
          </cell>
          <cell r="D60">
            <v>5.4298411465005625</v>
          </cell>
          <cell r="E60">
            <v>7.4340357492584328</v>
          </cell>
        </row>
        <row r="61">
          <cell r="A61">
            <v>59</v>
          </cell>
          <cell r="B61">
            <v>9.8000000000000007</v>
          </cell>
          <cell r="C61">
            <v>6.3</v>
          </cell>
          <cell r="D61">
            <v>5.4605340261249777</v>
          </cell>
          <cell r="E61">
            <v>7.5298447280174461</v>
          </cell>
        </row>
        <row r="62">
          <cell r="A62">
            <v>64</v>
          </cell>
          <cell r="B62">
            <v>9.9</v>
          </cell>
          <cell r="C62">
            <v>5.55</v>
          </cell>
          <cell r="D62">
            <v>5.5219197853738082</v>
          </cell>
          <cell r="E62">
            <v>7.7214626855354691</v>
          </cell>
        </row>
        <row r="63">
          <cell r="A63">
            <v>63</v>
          </cell>
          <cell r="B63">
            <v>9.93</v>
          </cell>
          <cell r="C63">
            <v>5.38</v>
          </cell>
          <cell r="D63">
            <v>5.5403355131484568</v>
          </cell>
          <cell r="E63">
            <v>7.7789480727908744</v>
          </cell>
        </row>
        <row r="64">
          <cell r="A64">
            <v>65</v>
          </cell>
          <cell r="B64">
            <v>10.029999999999999</v>
          </cell>
          <cell r="C64">
            <v>5.5</v>
          </cell>
          <cell r="D64">
            <v>5.6017212723972873</v>
          </cell>
          <cell r="E64">
            <v>7.9705660303088974</v>
          </cell>
        </row>
        <row r="65">
          <cell r="A65">
            <v>66</v>
          </cell>
          <cell r="B65">
            <v>10.1</v>
          </cell>
          <cell r="C65">
            <v>6.9</v>
          </cell>
          <cell r="D65">
            <v>5.6446913038714683</v>
          </cell>
          <cell r="E65">
            <v>8.1046986005715151</v>
          </cell>
        </row>
        <row r="66">
          <cell r="A66">
            <v>60</v>
          </cell>
          <cell r="B66">
            <v>10.23</v>
          </cell>
          <cell r="C66">
            <v>4.25</v>
          </cell>
          <cell r="D66">
            <v>5.7244927908949483</v>
          </cell>
          <cell r="E66">
            <v>8.3538019453449461</v>
          </cell>
        </row>
        <row r="67">
          <cell r="A67">
            <v>61</v>
          </cell>
          <cell r="B67">
            <v>10.35</v>
          </cell>
          <cell r="C67">
            <v>5.2</v>
          </cell>
          <cell r="D67">
            <v>5.7981557019935446</v>
          </cell>
          <cell r="E67">
            <v>8.5837434943665727</v>
          </cell>
        </row>
        <row r="68">
          <cell r="A68">
            <v>62</v>
          </cell>
          <cell r="B68">
            <v>10.6</v>
          </cell>
          <cell r="C68">
            <v>5.2</v>
          </cell>
          <cell r="D68">
            <v>5.9516201001156208</v>
          </cell>
          <cell r="E68">
            <v>9.062788388161632</v>
          </cell>
        </row>
      </sheetData>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mailto:qualite-m3@inrae.fr" TargetMode="Externa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3.xml.rels><?xml version="1.0" encoding="UTF-8" standalone="yes"?>
<Relationships xmlns="http://schemas.openxmlformats.org/package/2006/relationships"><Relationship Id="rId1" Type="http://schemas.openxmlformats.org/officeDocument/2006/relationships/hyperlink" Target="https://novae.hub.inrae.fr/les-articles-parus/les-n-reguliers/2019/art3-ct96-2019" TargetMode="Externa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qualite.intranet.inrae.fr/outils/m3-mesures-metrologie-et-validation-de-methode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wksMdE">
    <tabColor theme="9" tint="0.59999389629810485"/>
  </sheetPr>
  <dimension ref="A1:T27"/>
  <sheetViews>
    <sheetView zoomScale="110" zoomScaleNormal="110" workbookViewId="0">
      <selection activeCell="A4" sqref="A4"/>
    </sheetView>
  </sheetViews>
  <sheetFormatPr baseColWidth="10" defaultRowHeight="11.25" x14ac:dyDescent="0.15"/>
  <cols>
    <col min="1" max="1" width="77.875" style="6" customWidth="1"/>
    <col min="19" max="19" width="7" customWidth="1"/>
    <col min="20" max="20" width="3.125" customWidth="1"/>
  </cols>
  <sheetData>
    <row r="1" spans="1:20" s="2" customFormat="1" x14ac:dyDescent="0.15">
      <c r="A1" s="2" t="str">
        <f ca="1">INDIRECT(ADDRESS(ROW(A1),$T$1,1,,"Texte"))</f>
        <v>Mode d'emploi</v>
      </c>
      <c r="S1" s="26" t="s">
        <v>166</v>
      </c>
      <c r="T1" s="26">
        <v>1</v>
      </c>
    </row>
    <row r="2" spans="1:20" x14ac:dyDescent="0.15">
      <c r="A2" t="str">
        <f t="shared" ref="A2:A14" ca="1" si="0">INDIRECT(ADDRESS(ROW(A2),$T$1,1,,"Texte"))</f>
        <v xml:space="preserve">Avant d'utiliser ce classeur, en faire une copie. </v>
      </c>
    </row>
    <row r="3" spans="1:20" x14ac:dyDescent="0.15">
      <c r="A3" t="str">
        <f t="shared" ca="1" si="0"/>
        <v xml:space="preserve">Ces feuilles de calcul sont libres d'emploi, pour aider à mettre en œuvre la méthode du profil d'exactitude. </v>
      </c>
    </row>
    <row r="4" spans="1:20" x14ac:dyDescent="0.15">
      <c r="A4" t="str">
        <f t="shared" ca="1" si="0"/>
        <v xml:space="preserve"> Elles ne sont fournies qu'à titre indicatif et sans garantie.  </v>
      </c>
    </row>
    <row r="5" spans="1:20" x14ac:dyDescent="0.15">
      <c r="A5" t="str">
        <f t="shared" ca="1" si="0"/>
        <v>L'auteur décline toute responsabilité quant aux résultats obtenus ou en cas d'un usage inapproprié.</v>
      </c>
    </row>
    <row r="6" spans="1:20" x14ac:dyDescent="0.15">
      <c r="A6" t="str">
        <f t="shared" ca="1" si="0"/>
        <v>Afin d'améliorer ce programme, merci de signaler toute erreur à max.feinberg@orange.fr en indiquant le nom de la feuille, la cellule erronée et la nouvelle formule.</v>
      </c>
    </row>
    <row r="7" spans="1:20" s="2" customFormat="1" x14ac:dyDescent="0.15">
      <c r="A7" s="2" t="str">
        <f t="shared" ca="1" si="0"/>
        <v>Procédure</v>
      </c>
    </row>
    <row r="8" spans="1:20" x14ac:dyDescent="0.15">
      <c r="A8" t="str">
        <f t="shared" ca="1" si="0"/>
        <v xml:space="preserve">1) Remplir chaque feuille Niveau (noté de A à G) avec les données obtenues par prédiction inverse. </v>
      </c>
    </row>
    <row r="9" spans="1:20" x14ac:dyDescent="0.15">
      <c r="A9" t="str">
        <f t="shared" ca="1" si="0"/>
        <v xml:space="preserve">Pour cela utiliser les cases dont le fond est blanc, elles ne sont pas protégées. Si elles contiennent déjà des données, les effacer au préalable. </v>
      </c>
    </row>
    <row r="10" spans="1:20" x14ac:dyDescent="0.15">
      <c r="A10" t="str">
        <f t="shared" ca="1" si="0"/>
        <v>Respecter la disposition Jour/Répétition prévue des données.</v>
      </c>
    </row>
    <row r="11" spans="1:20" x14ac:dyDescent="0.15">
      <c r="A11" t="str">
        <f t="shared" ca="1" si="0"/>
        <v>Le plan d'expérience est limité à 7 niveaux, 20 séries/niveau et 5 répétitions/ série</v>
      </c>
    </row>
    <row r="12" spans="1:20" x14ac:dyDescent="0.15">
      <c r="A12" t="str">
        <f t="shared" ca="1" si="0"/>
        <v>2) Pour chaque niveau, saisir la valeur de référence dans la case "Valeur de référence"</v>
      </c>
    </row>
    <row r="13" spans="1:20" x14ac:dyDescent="0.15">
      <c r="A13" t="str">
        <f t="shared" ca="1" si="0"/>
        <v xml:space="preserve">4) Dans la feuille "Bilan", saisir une valeur pour la proportion bêta et pour la limite d'acceptabilité. </v>
      </c>
    </row>
    <row r="14" spans="1:20" x14ac:dyDescent="0.15">
      <c r="A14" t="str">
        <f t="shared" ca="1" si="0"/>
        <v>Ces valeurs peuvent être modifiées de façon interactive.</v>
      </c>
    </row>
    <row r="15" spans="1:20" x14ac:dyDescent="0.15">
      <c r="A15"/>
    </row>
    <row r="16" spans="1:20" x14ac:dyDescent="0.15">
      <c r="A16" t="s">
        <v>409</v>
      </c>
    </row>
    <row r="17" spans="1:10" x14ac:dyDescent="0.15">
      <c r="A17" s="59" t="s">
        <v>410</v>
      </c>
    </row>
    <row r="18" spans="1:10" x14ac:dyDescent="0.15">
      <c r="A18" s="59"/>
    </row>
    <row r="20" spans="1:10" x14ac:dyDescent="0.15">
      <c r="A20" s="236" t="s">
        <v>338</v>
      </c>
      <c r="B20" s="237"/>
      <c r="C20" s="237"/>
      <c r="D20" s="237"/>
      <c r="E20" s="237"/>
      <c r="F20" s="237"/>
      <c r="G20" s="237"/>
      <c r="H20" s="237"/>
      <c r="I20" s="237"/>
      <c r="J20" s="237"/>
    </row>
    <row r="21" spans="1:10" x14ac:dyDescent="0.15">
      <c r="A21" s="6" t="s">
        <v>337</v>
      </c>
    </row>
    <row r="22" spans="1:10" x14ac:dyDescent="0.15">
      <c r="A22" s="151" t="s">
        <v>336</v>
      </c>
    </row>
    <row r="27" spans="1:10" x14ac:dyDescent="0.15">
      <c r="A27" s="152"/>
    </row>
  </sheetData>
  <sheetProtection algorithmName="SHA-512" hashValue="4PdLtfbV23Ka1GRIPr6+W+BMXX5/sA61sXX6vQfY5CKtKOhmhUN68yBj7XgIew73qIuUypEfzbP+IqcRKi8/RA==" saltValue="MamI0o44GXJcjy0sHDQIvA==" spinCount="100000" sheet="1" objects="1" scenarios="1"/>
  <mergeCells count="1">
    <mergeCell ref="A20:J20"/>
  </mergeCells>
  <phoneticPr fontId="1" type="noConversion"/>
  <hyperlinks>
    <hyperlink ref="A22" r:id="rId1" display="mailto:qualite-m3@inrae.fr"/>
  </hyperlinks>
  <pageMargins left="0.78740157499999996" right="0.78740157499999996" top="0.984251969" bottom="0.984251969" header="0.4921259845" footer="0.4921259845"/>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tabColor theme="3" tint="-0.499984740745262"/>
  </sheetPr>
  <dimension ref="A1"/>
  <sheetViews>
    <sheetView zoomScale="70" zoomScaleNormal="70" workbookViewId="0">
      <selection activeCell="J63" sqref="J63"/>
    </sheetView>
  </sheetViews>
  <sheetFormatPr baseColWidth="10" defaultRowHeight="11.25" x14ac:dyDescent="0.15"/>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2">
    <tabColor theme="6" tint="0.39997558519241921"/>
  </sheetPr>
  <dimension ref="A1:T98"/>
  <sheetViews>
    <sheetView zoomScale="80" zoomScaleNormal="80" workbookViewId="0">
      <selection activeCell="K37" sqref="K37:M51"/>
    </sheetView>
  </sheetViews>
  <sheetFormatPr baseColWidth="10" defaultRowHeight="11.25" x14ac:dyDescent="0.15"/>
  <cols>
    <col min="1" max="1" width="26" customWidth="1"/>
    <col min="4" max="4" width="17.75" customWidth="1"/>
    <col min="10" max="10" width="15" customWidth="1"/>
    <col min="13" max="13" width="10.875" customWidth="1"/>
  </cols>
  <sheetData>
    <row r="1" spans="1:1" ht="18" x14ac:dyDescent="0.25">
      <c r="A1" s="53" t="s">
        <v>233</v>
      </c>
    </row>
    <row r="2" spans="1:1" ht="18" x14ac:dyDescent="0.25">
      <c r="A2" s="53"/>
    </row>
    <row r="3" spans="1:1" x14ac:dyDescent="0.15">
      <c r="A3" s="56" t="s">
        <v>291</v>
      </c>
    </row>
    <row r="4" spans="1:1" x14ac:dyDescent="0.15">
      <c r="A4" s="46" t="s">
        <v>231</v>
      </c>
    </row>
    <row r="5" spans="1:1" x14ac:dyDescent="0.15">
      <c r="A5" s="55"/>
    </row>
    <row r="6" spans="1:1" x14ac:dyDescent="0.15">
      <c r="A6" s="56" t="s">
        <v>290</v>
      </c>
    </row>
    <row r="7" spans="1:1" x14ac:dyDescent="0.15">
      <c r="A7" s="46" t="s">
        <v>230</v>
      </c>
    </row>
    <row r="8" spans="1:1" x14ac:dyDescent="0.15">
      <c r="A8" s="46" t="s">
        <v>232</v>
      </c>
    </row>
    <row r="10" spans="1:1" x14ac:dyDescent="0.15">
      <c r="A10" s="56" t="s">
        <v>258</v>
      </c>
    </row>
    <row r="11" spans="1:1" x14ac:dyDescent="0.15">
      <c r="A11" s="56"/>
    </row>
    <row r="12" spans="1:1" x14ac:dyDescent="0.15">
      <c r="A12" s="56" t="s">
        <v>234</v>
      </c>
    </row>
    <row r="13" spans="1:1" x14ac:dyDescent="0.15">
      <c r="A13" s="46" t="s">
        <v>281</v>
      </c>
    </row>
    <row r="14" spans="1:1" x14ac:dyDescent="0.15">
      <c r="A14" s="46" t="s">
        <v>282</v>
      </c>
    </row>
    <row r="15" spans="1:1" x14ac:dyDescent="0.15">
      <c r="A15" s="46"/>
    </row>
    <row r="16" spans="1:1" x14ac:dyDescent="0.15">
      <c r="A16" s="46"/>
    </row>
    <row r="17" spans="1:16" x14ac:dyDescent="0.15">
      <c r="A17" s="46"/>
    </row>
    <row r="18" spans="1:16" x14ac:dyDescent="0.15">
      <c r="A18" s="55"/>
    </row>
    <row r="19" spans="1:16" ht="15" x14ac:dyDescent="0.2">
      <c r="A19" s="60" t="s">
        <v>235</v>
      </c>
    </row>
    <row r="20" spans="1:16" ht="12" thickBot="1" x14ac:dyDescent="0.2"/>
    <row r="21" spans="1:16" ht="12" thickBot="1" x14ac:dyDescent="0.2">
      <c r="A21" s="46"/>
      <c r="B21" s="261" t="s">
        <v>95</v>
      </c>
      <c r="C21" s="276"/>
      <c r="D21" s="276"/>
      <c r="E21" s="261" t="s">
        <v>228</v>
      </c>
      <c r="F21" s="276"/>
      <c r="G21" s="276"/>
      <c r="H21" s="261" t="s">
        <v>226</v>
      </c>
      <c r="I21" s="276"/>
      <c r="J21" s="277"/>
      <c r="K21" s="261" t="s">
        <v>229</v>
      </c>
      <c r="L21" s="262"/>
      <c r="M21" s="263"/>
      <c r="N21" s="261" t="s">
        <v>224</v>
      </c>
      <c r="O21" s="262"/>
      <c r="P21" s="263"/>
    </row>
    <row r="22" spans="1:16" x14ac:dyDescent="0.15">
      <c r="A22" s="244" t="s">
        <v>227</v>
      </c>
      <c r="B22" s="247"/>
      <c r="C22" s="248"/>
      <c r="D22" s="273"/>
      <c r="E22" s="264" t="s">
        <v>236</v>
      </c>
      <c r="F22" s="265"/>
      <c r="G22" s="266"/>
      <c r="H22" s="252"/>
      <c r="I22" s="253"/>
      <c r="J22" s="254"/>
      <c r="K22" s="264" t="s">
        <v>257</v>
      </c>
      <c r="L22" s="265"/>
      <c r="M22" s="266"/>
      <c r="N22" s="252" t="s">
        <v>225</v>
      </c>
      <c r="O22" s="253"/>
      <c r="P22" s="254"/>
    </row>
    <row r="23" spans="1:16" x14ac:dyDescent="0.15">
      <c r="A23" s="245"/>
      <c r="B23" s="249"/>
      <c r="C23" s="237"/>
      <c r="D23" s="274"/>
      <c r="E23" s="267"/>
      <c r="F23" s="268"/>
      <c r="G23" s="269"/>
      <c r="H23" s="255"/>
      <c r="I23" s="256"/>
      <c r="J23" s="257"/>
      <c r="K23" s="267"/>
      <c r="L23" s="268"/>
      <c r="M23" s="269"/>
      <c r="N23" s="255"/>
      <c r="O23" s="256"/>
      <c r="P23" s="257"/>
    </row>
    <row r="24" spans="1:16" x14ac:dyDescent="0.15">
      <c r="A24" s="245"/>
      <c r="B24" s="249"/>
      <c r="C24" s="237"/>
      <c r="D24" s="274"/>
      <c r="E24" s="267"/>
      <c r="F24" s="268"/>
      <c r="G24" s="269"/>
      <c r="H24" s="255"/>
      <c r="I24" s="256"/>
      <c r="J24" s="257"/>
      <c r="K24" s="267"/>
      <c r="L24" s="268"/>
      <c r="M24" s="269"/>
      <c r="N24" s="255"/>
      <c r="O24" s="256"/>
      <c r="P24" s="257"/>
    </row>
    <row r="25" spans="1:16" x14ac:dyDescent="0.15">
      <c r="A25" s="245"/>
      <c r="B25" s="249"/>
      <c r="C25" s="237"/>
      <c r="D25" s="274"/>
      <c r="E25" s="267"/>
      <c r="F25" s="268"/>
      <c r="G25" s="269"/>
      <c r="H25" s="255"/>
      <c r="I25" s="256"/>
      <c r="J25" s="257"/>
      <c r="K25" s="267"/>
      <c r="L25" s="268"/>
      <c r="M25" s="269"/>
      <c r="N25" s="255"/>
      <c r="O25" s="256"/>
      <c r="P25" s="257"/>
    </row>
    <row r="26" spans="1:16" x14ac:dyDescent="0.15">
      <c r="A26" s="245"/>
      <c r="B26" s="249"/>
      <c r="C26" s="237"/>
      <c r="D26" s="274"/>
      <c r="E26" s="267"/>
      <c r="F26" s="268"/>
      <c r="G26" s="269"/>
      <c r="H26" s="255"/>
      <c r="I26" s="256"/>
      <c r="J26" s="257"/>
      <c r="K26" s="267"/>
      <c r="L26" s="268"/>
      <c r="M26" s="269"/>
      <c r="N26" s="255"/>
      <c r="O26" s="256"/>
      <c r="P26" s="257"/>
    </row>
    <row r="27" spans="1:16" x14ac:dyDescent="0.15">
      <c r="A27" s="245"/>
      <c r="B27" s="249"/>
      <c r="C27" s="237"/>
      <c r="D27" s="274"/>
      <c r="E27" s="267"/>
      <c r="F27" s="268"/>
      <c r="G27" s="269"/>
      <c r="H27" s="255"/>
      <c r="I27" s="256"/>
      <c r="J27" s="257"/>
      <c r="K27" s="267"/>
      <c r="L27" s="268"/>
      <c r="M27" s="269"/>
      <c r="N27" s="255"/>
      <c r="O27" s="256"/>
      <c r="P27" s="257"/>
    </row>
    <row r="28" spans="1:16" x14ac:dyDescent="0.15">
      <c r="A28" s="245"/>
      <c r="B28" s="249"/>
      <c r="C28" s="237"/>
      <c r="D28" s="274"/>
      <c r="E28" s="267"/>
      <c r="F28" s="268"/>
      <c r="G28" s="269"/>
      <c r="H28" s="255"/>
      <c r="I28" s="256"/>
      <c r="J28" s="257"/>
      <c r="K28" s="267"/>
      <c r="L28" s="268"/>
      <c r="M28" s="269"/>
      <c r="N28" s="255"/>
      <c r="O28" s="256"/>
      <c r="P28" s="257"/>
    </row>
    <row r="29" spans="1:16" x14ac:dyDescent="0.15">
      <c r="A29" s="245"/>
      <c r="B29" s="249"/>
      <c r="C29" s="237"/>
      <c r="D29" s="274"/>
      <c r="E29" s="267"/>
      <c r="F29" s="268"/>
      <c r="G29" s="269"/>
      <c r="H29" s="255"/>
      <c r="I29" s="256"/>
      <c r="J29" s="257"/>
      <c r="K29" s="267"/>
      <c r="L29" s="268"/>
      <c r="M29" s="269"/>
      <c r="N29" s="255"/>
      <c r="O29" s="256"/>
      <c r="P29" s="257"/>
    </row>
    <row r="30" spans="1:16" x14ac:dyDescent="0.15">
      <c r="A30" s="245"/>
      <c r="B30" s="249"/>
      <c r="C30" s="237"/>
      <c r="D30" s="274"/>
      <c r="E30" s="267"/>
      <c r="F30" s="268"/>
      <c r="G30" s="269"/>
      <c r="H30" s="255"/>
      <c r="I30" s="256"/>
      <c r="J30" s="257"/>
      <c r="K30" s="267"/>
      <c r="L30" s="268"/>
      <c r="M30" s="269"/>
      <c r="N30" s="255"/>
      <c r="O30" s="256"/>
      <c r="P30" s="257"/>
    </row>
    <row r="31" spans="1:16" x14ac:dyDescent="0.15">
      <c r="A31" s="245"/>
      <c r="B31" s="249"/>
      <c r="C31" s="237"/>
      <c r="D31" s="274"/>
      <c r="E31" s="267"/>
      <c r="F31" s="268"/>
      <c r="G31" s="269"/>
      <c r="H31" s="255"/>
      <c r="I31" s="256"/>
      <c r="J31" s="257"/>
      <c r="K31" s="267"/>
      <c r="L31" s="268"/>
      <c r="M31" s="269"/>
      <c r="N31" s="255"/>
      <c r="O31" s="256"/>
      <c r="P31" s="257"/>
    </row>
    <row r="32" spans="1:16" x14ac:dyDescent="0.15">
      <c r="A32" s="245"/>
      <c r="B32" s="249"/>
      <c r="C32" s="237"/>
      <c r="D32" s="274"/>
      <c r="E32" s="267"/>
      <c r="F32" s="268"/>
      <c r="G32" s="269"/>
      <c r="H32" s="255"/>
      <c r="I32" s="256"/>
      <c r="J32" s="257"/>
      <c r="K32" s="267"/>
      <c r="L32" s="268"/>
      <c r="M32" s="269"/>
      <c r="N32" s="255"/>
      <c r="O32" s="256"/>
      <c r="P32" s="257"/>
    </row>
    <row r="33" spans="1:16" x14ac:dyDescent="0.15">
      <c r="A33" s="245"/>
      <c r="B33" s="249"/>
      <c r="C33" s="237"/>
      <c r="D33" s="274"/>
      <c r="E33" s="267"/>
      <c r="F33" s="268"/>
      <c r="G33" s="269"/>
      <c r="H33" s="255"/>
      <c r="I33" s="256"/>
      <c r="J33" s="257"/>
      <c r="K33" s="267"/>
      <c r="L33" s="268"/>
      <c r="M33" s="269"/>
      <c r="N33" s="255"/>
      <c r="O33" s="256"/>
      <c r="P33" s="257"/>
    </row>
    <row r="34" spans="1:16" x14ac:dyDescent="0.15">
      <c r="A34" s="245"/>
      <c r="B34" s="249"/>
      <c r="C34" s="237"/>
      <c r="D34" s="274"/>
      <c r="E34" s="267"/>
      <c r="F34" s="268"/>
      <c r="G34" s="269"/>
      <c r="H34" s="255"/>
      <c r="I34" s="256"/>
      <c r="J34" s="257"/>
      <c r="K34" s="267"/>
      <c r="L34" s="268"/>
      <c r="M34" s="269"/>
      <c r="N34" s="255"/>
      <c r="O34" s="256"/>
      <c r="P34" s="257"/>
    </row>
    <row r="35" spans="1:16" x14ac:dyDescent="0.15">
      <c r="A35" s="245"/>
      <c r="B35" s="249"/>
      <c r="C35" s="237"/>
      <c r="D35" s="274"/>
      <c r="E35" s="267"/>
      <c r="F35" s="268"/>
      <c r="G35" s="269"/>
      <c r="H35" s="255"/>
      <c r="I35" s="256"/>
      <c r="J35" s="257"/>
      <c r="K35" s="267"/>
      <c r="L35" s="268"/>
      <c r="M35" s="269"/>
      <c r="N35" s="255"/>
      <c r="O35" s="256"/>
      <c r="P35" s="257"/>
    </row>
    <row r="36" spans="1:16" ht="12" thickBot="1" x14ac:dyDescent="0.2">
      <c r="A36" s="246"/>
      <c r="B36" s="250"/>
      <c r="C36" s="251"/>
      <c r="D36" s="275"/>
      <c r="E36" s="270"/>
      <c r="F36" s="271"/>
      <c r="G36" s="272"/>
      <c r="H36" s="258"/>
      <c r="I36" s="259"/>
      <c r="J36" s="260"/>
      <c r="K36" s="270"/>
      <c r="L36" s="271"/>
      <c r="M36" s="272"/>
      <c r="N36" s="258"/>
      <c r="O36" s="259"/>
      <c r="P36" s="260"/>
    </row>
    <row r="37" spans="1:16" ht="11.25" customHeight="1" x14ac:dyDescent="0.15">
      <c r="A37" s="244" t="s">
        <v>243</v>
      </c>
      <c r="B37" s="247"/>
      <c r="C37" s="248"/>
      <c r="D37" s="273"/>
      <c r="E37" s="252" t="s">
        <v>237</v>
      </c>
      <c r="F37" s="253"/>
      <c r="G37" s="254"/>
      <c r="H37" s="252"/>
      <c r="I37" s="253"/>
      <c r="J37" s="254"/>
      <c r="K37" s="252" t="s">
        <v>256</v>
      </c>
      <c r="L37" s="253"/>
      <c r="M37" s="254"/>
      <c r="N37" s="252" t="s">
        <v>238</v>
      </c>
      <c r="O37" s="253"/>
      <c r="P37" s="254"/>
    </row>
    <row r="38" spans="1:16" x14ac:dyDescent="0.15">
      <c r="A38" s="245"/>
      <c r="B38" s="249"/>
      <c r="C38" s="237"/>
      <c r="D38" s="274"/>
      <c r="E38" s="255"/>
      <c r="F38" s="256"/>
      <c r="G38" s="257"/>
      <c r="H38" s="255"/>
      <c r="I38" s="256"/>
      <c r="J38" s="257"/>
      <c r="K38" s="255"/>
      <c r="L38" s="256"/>
      <c r="M38" s="257"/>
      <c r="N38" s="255"/>
      <c r="O38" s="256"/>
      <c r="P38" s="257"/>
    </row>
    <row r="39" spans="1:16" x14ac:dyDescent="0.15">
      <c r="A39" s="245"/>
      <c r="B39" s="249"/>
      <c r="C39" s="237"/>
      <c r="D39" s="274"/>
      <c r="E39" s="255"/>
      <c r="F39" s="256"/>
      <c r="G39" s="257"/>
      <c r="H39" s="255"/>
      <c r="I39" s="256"/>
      <c r="J39" s="257"/>
      <c r="K39" s="255"/>
      <c r="L39" s="256"/>
      <c r="M39" s="257"/>
      <c r="N39" s="255"/>
      <c r="O39" s="256"/>
      <c r="P39" s="257"/>
    </row>
    <row r="40" spans="1:16" x14ac:dyDescent="0.15">
      <c r="A40" s="245"/>
      <c r="B40" s="249"/>
      <c r="C40" s="237"/>
      <c r="D40" s="274"/>
      <c r="E40" s="255"/>
      <c r="F40" s="256"/>
      <c r="G40" s="257"/>
      <c r="H40" s="255"/>
      <c r="I40" s="256"/>
      <c r="J40" s="257"/>
      <c r="K40" s="255"/>
      <c r="L40" s="256"/>
      <c r="M40" s="257"/>
      <c r="N40" s="255"/>
      <c r="O40" s="256"/>
      <c r="P40" s="257"/>
    </row>
    <row r="41" spans="1:16" x14ac:dyDescent="0.15">
      <c r="A41" s="245"/>
      <c r="B41" s="249"/>
      <c r="C41" s="237"/>
      <c r="D41" s="274"/>
      <c r="E41" s="255"/>
      <c r="F41" s="256"/>
      <c r="G41" s="257"/>
      <c r="H41" s="255"/>
      <c r="I41" s="256"/>
      <c r="J41" s="257"/>
      <c r="K41" s="255"/>
      <c r="L41" s="256"/>
      <c r="M41" s="257"/>
      <c r="N41" s="255"/>
      <c r="O41" s="256"/>
      <c r="P41" s="257"/>
    </row>
    <row r="42" spans="1:16" x14ac:dyDescent="0.15">
      <c r="A42" s="245"/>
      <c r="B42" s="249"/>
      <c r="C42" s="237"/>
      <c r="D42" s="274"/>
      <c r="E42" s="255"/>
      <c r="F42" s="256"/>
      <c r="G42" s="257"/>
      <c r="H42" s="255"/>
      <c r="I42" s="256"/>
      <c r="J42" s="257"/>
      <c r="K42" s="255"/>
      <c r="L42" s="256"/>
      <c r="M42" s="257"/>
      <c r="N42" s="255"/>
      <c r="O42" s="256"/>
      <c r="P42" s="257"/>
    </row>
    <row r="43" spans="1:16" x14ac:dyDescent="0.15">
      <c r="A43" s="245"/>
      <c r="B43" s="249"/>
      <c r="C43" s="237"/>
      <c r="D43" s="274"/>
      <c r="E43" s="255"/>
      <c r="F43" s="256"/>
      <c r="G43" s="257"/>
      <c r="H43" s="255"/>
      <c r="I43" s="256"/>
      <c r="J43" s="257"/>
      <c r="K43" s="255"/>
      <c r="L43" s="256"/>
      <c r="M43" s="257"/>
      <c r="N43" s="255"/>
      <c r="O43" s="256"/>
      <c r="P43" s="257"/>
    </row>
    <row r="44" spans="1:16" x14ac:dyDescent="0.15">
      <c r="A44" s="245"/>
      <c r="B44" s="249"/>
      <c r="C44" s="237"/>
      <c r="D44" s="274"/>
      <c r="E44" s="255"/>
      <c r="F44" s="256"/>
      <c r="G44" s="257"/>
      <c r="H44" s="255"/>
      <c r="I44" s="256"/>
      <c r="J44" s="257"/>
      <c r="K44" s="255"/>
      <c r="L44" s="256"/>
      <c r="M44" s="257"/>
      <c r="N44" s="255"/>
      <c r="O44" s="256"/>
      <c r="P44" s="257"/>
    </row>
    <row r="45" spans="1:16" x14ac:dyDescent="0.15">
      <c r="A45" s="245"/>
      <c r="B45" s="249"/>
      <c r="C45" s="237"/>
      <c r="D45" s="274"/>
      <c r="E45" s="255"/>
      <c r="F45" s="256"/>
      <c r="G45" s="257"/>
      <c r="H45" s="255"/>
      <c r="I45" s="256"/>
      <c r="J45" s="257"/>
      <c r="K45" s="255"/>
      <c r="L45" s="256"/>
      <c r="M45" s="257"/>
      <c r="N45" s="255"/>
      <c r="O45" s="256"/>
      <c r="P45" s="257"/>
    </row>
    <row r="46" spans="1:16" x14ac:dyDescent="0.15">
      <c r="A46" s="245"/>
      <c r="B46" s="249"/>
      <c r="C46" s="237"/>
      <c r="D46" s="274"/>
      <c r="E46" s="255"/>
      <c r="F46" s="256"/>
      <c r="G46" s="257"/>
      <c r="H46" s="255"/>
      <c r="I46" s="256"/>
      <c r="J46" s="257"/>
      <c r="K46" s="255"/>
      <c r="L46" s="256"/>
      <c r="M46" s="257"/>
      <c r="N46" s="255"/>
      <c r="O46" s="256"/>
      <c r="P46" s="257"/>
    </row>
    <row r="47" spans="1:16" x14ac:dyDescent="0.15">
      <c r="A47" s="245"/>
      <c r="B47" s="249"/>
      <c r="C47" s="237"/>
      <c r="D47" s="274"/>
      <c r="E47" s="255"/>
      <c r="F47" s="256"/>
      <c r="G47" s="257"/>
      <c r="H47" s="255"/>
      <c r="I47" s="256"/>
      <c r="J47" s="257"/>
      <c r="K47" s="255"/>
      <c r="L47" s="256"/>
      <c r="M47" s="257"/>
      <c r="N47" s="255"/>
      <c r="O47" s="256"/>
      <c r="P47" s="257"/>
    </row>
    <row r="48" spans="1:16" x14ac:dyDescent="0.15">
      <c r="A48" s="245"/>
      <c r="B48" s="249"/>
      <c r="C48" s="237"/>
      <c r="D48" s="274"/>
      <c r="E48" s="255"/>
      <c r="F48" s="256"/>
      <c r="G48" s="257"/>
      <c r="H48" s="255"/>
      <c r="I48" s="256"/>
      <c r="J48" s="257"/>
      <c r="K48" s="255"/>
      <c r="L48" s="256"/>
      <c r="M48" s="257"/>
      <c r="N48" s="255"/>
      <c r="O48" s="256"/>
      <c r="P48" s="257"/>
    </row>
    <row r="49" spans="1:20" x14ac:dyDescent="0.15">
      <c r="A49" s="245"/>
      <c r="B49" s="249"/>
      <c r="C49" s="237"/>
      <c r="D49" s="274"/>
      <c r="E49" s="255"/>
      <c r="F49" s="256"/>
      <c r="G49" s="257"/>
      <c r="H49" s="255"/>
      <c r="I49" s="256"/>
      <c r="J49" s="257"/>
      <c r="K49" s="255"/>
      <c r="L49" s="256"/>
      <c r="M49" s="257"/>
      <c r="N49" s="255"/>
      <c r="O49" s="256"/>
      <c r="P49" s="257"/>
    </row>
    <row r="50" spans="1:20" x14ac:dyDescent="0.15">
      <c r="A50" s="245"/>
      <c r="B50" s="249"/>
      <c r="C50" s="237"/>
      <c r="D50" s="274"/>
      <c r="E50" s="255"/>
      <c r="F50" s="256"/>
      <c r="G50" s="257"/>
      <c r="H50" s="255"/>
      <c r="I50" s="256"/>
      <c r="J50" s="257"/>
      <c r="K50" s="255"/>
      <c r="L50" s="256"/>
      <c r="M50" s="257"/>
      <c r="N50" s="255"/>
      <c r="O50" s="256"/>
      <c r="P50" s="257"/>
    </row>
    <row r="51" spans="1:20" ht="12" thickBot="1" x14ac:dyDescent="0.2">
      <c r="A51" s="246"/>
      <c r="B51" s="250"/>
      <c r="C51" s="251"/>
      <c r="D51" s="275"/>
      <c r="E51" s="258"/>
      <c r="F51" s="259"/>
      <c r="G51" s="260"/>
      <c r="H51" s="258"/>
      <c r="I51" s="259"/>
      <c r="J51" s="260"/>
      <c r="K51" s="258"/>
      <c r="L51" s="259"/>
      <c r="M51" s="260"/>
      <c r="N51" s="258"/>
      <c r="O51" s="259"/>
      <c r="P51" s="260"/>
    </row>
    <row r="52" spans="1:20" ht="11.25" customHeight="1" x14ac:dyDescent="0.15">
      <c r="A52" s="244" t="s">
        <v>244</v>
      </c>
      <c r="B52" s="247"/>
      <c r="C52" s="248"/>
      <c r="D52" s="248"/>
      <c r="E52" s="252" t="s">
        <v>240</v>
      </c>
      <c r="F52" s="253"/>
      <c r="G52" s="254"/>
      <c r="H52" s="252"/>
      <c r="I52" s="253"/>
      <c r="J52" s="254"/>
      <c r="K52" s="252" t="s">
        <v>283</v>
      </c>
      <c r="L52" s="253"/>
      <c r="M52" s="254"/>
      <c r="N52" s="252" t="s">
        <v>242</v>
      </c>
      <c r="O52" s="253"/>
      <c r="P52" s="254"/>
    </row>
    <row r="53" spans="1:20" x14ac:dyDescent="0.15">
      <c r="A53" s="245"/>
      <c r="B53" s="249"/>
      <c r="C53" s="237"/>
      <c r="D53" s="237"/>
      <c r="E53" s="255"/>
      <c r="F53" s="256"/>
      <c r="G53" s="257"/>
      <c r="H53" s="255"/>
      <c r="I53" s="256"/>
      <c r="J53" s="257"/>
      <c r="K53" s="255"/>
      <c r="L53" s="256"/>
      <c r="M53" s="257"/>
      <c r="N53" s="255"/>
      <c r="O53" s="256"/>
      <c r="P53" s="257"/>
      <c r="R53" s="54"/>
      <c r="S53" s="54"/>
      <c r="T53" s="54"/>
    </row>
    <row r="54" spans="1:20" x14ac:dyDescent="0.15">
      <c r="A54" s="245"/>
      <c r="B54" s="249"/>
      <c r="C54" s="237"/>
      <c r="D54" s="237"/>
      <c r="E54" s="255"/>
      <c r="F54" s="256"/>
      <c r="G54" s="257"/>
      <c r="H54" s="255"/>
      <c r="I54" s="256"/>
      <c r="J54" s="257"/>
      <c r="K54" s="255"/>
      <c r="L54" s="256"/>
      <c r="M54" s="257"/>
      <c r="N54" s="255"/>
      <c r="O54" s="256"/>
      <c r="P54" s="257"/>
      <c r="R54" s="54"/>
      <c r="S54" s="54"/>
      <c r="T54" s="54"/>
    </row>
    <row r="55" spans="1:20" x14ac:dyDescent="0.15">
      <c r="A55" s="245"/>
      <c r="B55" s="249"/>
      <c r="C55" s="237"/>
      <c r="D55" s="237"/>
      <c r="E55" s="255"/>
      <c r="F55" s="256"/>
      <c r="G55" s="257"/>
      <c r="H55" s="255"/>
      <c r="I55" s="256"/>
      <c r="J55" s="257"/>
      <c r="K55" s="255"/>
      <c r="L55" s="256"/>
      <c r="M55" s="257"/>
      <c r="N55" s="255"/>
      <c r="O55" s="256"/>
      <c r="P55" s="257"/>
      <c r="R55" s="54"/>
      <c r="S55" s="54"/>
      <c r="T55" s="54"/>
    </row>
    <row r="56" spans="1:20" x14ac:dyDescent="0.15">
      <c r="A56" s="245"/>
      <c r="B56" s="249"/>
      <c r="C56" s="237"/>
      <c r="D56" s="237"/>
      <c r="E56" s="255"/>
      <c r="F56" s="256"/>
      <c r="G56" s="257"/>
      <c r="H56" s="255"/>
      <c r="I56" s="256"/>
      <c r="J56" s="257"/>
      <c r="K56" s="255"/>
      <c r="L56" s="256"/>
      <c r="M56" s="257"/>
      <c r="N56" s="255"/>
      <c r="O56" s="256"/>
      <c r="P56" s="257"/>
      <c r="R56" s="54"/>
      <c r="S56" s="54"/>
      <c r="T56" s="54"/>
    </row>
    <row r="57" spans="1:20" x14ac:dyDescent="0.15">
      <c r="A57" s="245"/>
      <c r="B57" s="249"/>
      <c r="C57" s="237"/>
      <c r="D57" s="237"/>
      <c r="E57" s="255"/>
      <c r="F57" s="256"/>
      <c r="G57" s="257"/>
      <c r="H57" s="255"/>
      <c r="I57" s="256"/>
      <c r="J57" s="257"/>
      <c r="K57" s="255"/>
      <c r="L57" s="256"/>
      <c r="M57" s="257"/>
      <c r="N57" s="255"/>
      <c r="O57" s="256"/>
      <c r="P57" s="257"/>
      <c r="R57" s="54"/>
      <c r="S57" s="54"/>
      <c r="T57" s="54"/>
    </row>
    <row r="58" spans="1:20" x14ac:dyDescent="0.15">
      <c r="A58" s="245"/>
      <c r="B58" s="249"/>
      <c r="C58" s="237"/>
      <c r="D58" s="237"/>
      <c r="E58" s="255"/>
      <c r="F58" s="256"/>
      <c r="G58" s="257"/>
      <c r="H58" s="255"/>
      <c r="I58" s="256"/>
      <c r="J58" s="257"/>
      <c r="K58" s="255"/>
      <c r="L58" s="256"/>
      <c r="M58" s="257"/>
      <c r="N58" s="255"/>
      <c r="O58" s="256"/>
      <c r="P58" s="257"/>
      <c r="R58" s="54"/>
      <c r="S58" s="54"/>
      <c r="T58" s="54"/>
    </row>
    <row r="59" spans="1:20" x14ac:dyDescent="0.15">
      <c r="A59" s="245"/>
      <c r="B59" s="249"/>
      <c r="C59" s="237"/>
      <c r="D59" s="237"/>
      <c r="E59" s="255"/>
      <c r="F59" s="256"/>
      <c r="G59" s="257"/>
      <c r="H59" s="255"/>
      <c r="I59" s="256"/>
      <c r="J59" s="257"/>
      <c r="K59" s="255"/>
      <c r="L59" s="256"/>
      <c r="M59" s="257"/>
      <c r="N59" s="255"/>
      <c r="O59" s="256"/>
      <c r="P59" s="257"/>
      <c r="R59" s="54"/>
      <c r="S59" s="54"/>
      <c r="T59" s="54"/>
    </row>
    <row r="60" spans="1:20" x14ac:dyDescent="0.15">
      <c r="A60" s="245"/>
      <c r="B60" s="249"/>
      <c r="C60" s="237"/>
      <c r="D60" s="237"/>
      <c r="E60" s="255"/>
      <c r="F60" s="256"/>
      <c r="G60" s="257"/>
      <c r="H60" s="255"/>
      <c r="I60" s="256"/>
      <c r="J60" s="257"/>
      <c r="K60" s="255"/>
      <c r="L60" s="256"/>
      <c r="M60" s="257"/>
      <c r="N60" s="255"/>
      <c r="O60" s="256"/>
      <c r="P60" s="257"/>
      <c r="R60" s="54"/>
      <c r="S60" s="54"/>
      <c r="T60" s="54"/>
    </row>
    <row r="61" spans="1:20" x14ac:dyDescent="0.15">
      <c r="A61" s="245"/>
      <c r="B61" s="249"/>
      <c r="C61" s="237"/>
      <c r="D61" s="237"/>
      <c r="E61" s="255"/>
      <c r="F61" s="256"/>
      <c r="G61" s="257"/>
      <c r="H61" s="255"/>
      <c r="I61" s="256"/>
      <c r="J61" s="257"/>
      <c r="K61" s="255"/>
      <c r="L61" s="256"/>
      <c r="M61" s="257"/>
      <c r="N61" s="255"/>
      <c r="O61" s="256"/>
      <c r="P61" s="257"/>
      <c r="R61" s="54"/>
      <c r="S61" s="54"/>
      <c r="T61" s="54"/>
    </row>
    <row r="62" spans="1:20" x14ac:dyDescent="0.15">
      <c r="A62" s="245"/>
      <c r="B62" s="249"/>
      <c r="C62" s="237"/>
      <c r="D62" s="237"/>
      <c r="E62" s="255"/>
      <c r="F62" s="256"/>
      <c r="G62" s="257"/>
      <c r="H62" s="255"/>
      <c r="I62" s="256"/>
      <c r="J62" s="257"/>
      <c r="K62" s="255"/>
      <c r="L62" s="256"/>
      <c r="M62" s="257"/>
      <c r="N62" s="255"/>
      <c r="O62" s="256"/>
      <c r="P62" s="257"/>
      <c r="R62" s="54"/>
      <c r="S62" s="54"/>
      <c r="T62" s="54"/>
    </row>
    <row r="63" spans="1:20" x14ac:dyDescent="0.15">
      <c r="A63" s="245"/>
      <c r="B63" s="249"/>
      <c r="C63" s="237"/>
      <c r="D63" s="237"/>
      <c r="E63" s="255"/>
      <c r="F63" s="256"/>
      <c r="G63" s="257"/>
      <c r="H63" s="255"/>
      <c r="I63" s="256"/>
      <c r="J63" s="257"/>
      <c r="K63" s="255"/>
      <c r="L63" s="256"/>
      <c r="M63" s="257"/>
      <c r="N63" s="255"/>
      <c r="O63" s="256"/>
      <c r="P63" s="257"/>
      <c r="R63" s="54"/>
      <c r="S63" s="54"/>
      <c r="T63" s="54"/>
    </row>
    <row r="64" spans="1:20" x14ac:dyDescent="0.15">
      <c r="A64" s="245"/>
      <c r="B64" s="249"/>
      <c r="C64" s="237"/>
      <c r="D64" s="237"/>
      <c r="E64" s="255"/>
      <c r="F64" s="256"/>
      <c r="G64" s="257"/>
      <c r="H64" s="255"/>
      <c r="I64" s="256"/>
      <c r="J64" s="257"/>
      <c r="K64" s="255"/>
      <c r="L64" s="256"/>
      <c r="M64" s="257"/>
      <c r="N64" s="255"/>
      <c r="O64" s="256"/>
      <c r="P64" s="257"/>
      <c r="R64" s="54"/>
      <c r="S64" s="54"/>
      <c r="T64" s="54"/>
    </row>
    <row r="65" spans="1:20" x14ac:dyDescent="0.15">
      <c r="A65" s="245"/>
      <c r="B65" s="249"/>
      <c r="C65" s="237"/>
      <c r="D65" s="237"/>
      <c r="E65" s="255"/>
      <c r="F65" s="256"/>
      <c r="G65" s="257"/>
      <c r="H65" s="255"/>
      <c r="I65" s="256"/>
      <c r="J65" s="257"/>
      <c r="K65" s="255"/>
      <c r="L65" s="256"/>
      <c r="M65" s="257"/>
      <c r="N65" s="255"/>
      <c r="O65" s="256"/>
      <c r="P65" s="257"/>
      <c r="R65" s="54"/>
      <c r="S65" s="54"/>
      <c r="T65" s="54"/>
    </row>
    <row r="66" spans="1:20" ht="12" thickBot="1" x14ac:dyDescent="0.2">
      <c r="A66" s="246"/>
      <c r="B66" s="250"/>
      <c r="C66" s="251"/>
      <c r="D66" s="251"/>
      <c r="E66" s="258"/>
      <c r="F66" s="259"/>
      <c r="G66" s="260"/>
      <c r="H66" s="258"/>
      <c r="I66" s="259"/>
      <c r="J66" s="260"/>
      <c r="K66" s="258"/>
      <c r="L66" s="259"/>
      <c r="M66" s="260"/>
      <c r="N66" s="258"/>
      <c r="O66" s="259"/>
      <c r="P66" s="260"/>
      <c r="R66" s="54"/>
      <c r="S66" s="54"/>
      <c r="T66" s="54"/>
    </row>
    <row r="67" spans="1:20" x14ac:dyDescent="0.15">
      <c r="A67" s="244" t="s">
        <v>245</v>
      </c>
      <c r="B67" s="247"/>
      <c r="C67" s="248"/>
      <c r="D67" s="248"/>
      <c r="E67" s="252" t="s">
        <v>241</v>
      </c>
      <c r="F67" s="253"/>
      <c r="G67" s="254"/>
      <c r="H67" s="252"/>
      <c r="I67" s="253"/>
      <c r="J67" s="254"/>
      <c r="K67" s="252" t="s">
        <v>246</v>
      </c>
      <c r="L67" s="253"/>
      <c r="M67" s="254"/>
      <c r="N67" s="252" t="s">
        <v>247</v>
      </c>
      <c r="O67" s="253"/>
      <c r="P67" s="254"/>
      <c r="R67" s="54"/>
      <c r="S67" s="54"/>
      <c r="T67" s="54"/>
    </row>
    <row r="68" spans="1:20" x14ac:dyDescent="0.15">
      <c r="A68" s="245"/>
      <c r="B68" s="249"/>
      <c r="C68" s="237"/>
      <c r="D68" s="237"/>
      <c r="E68" s="255"/>
      <c r="F68" s="256"/>
      <c r="G68" s="257"/>
      <c r="H68" s="255"/>
      <c r="I68" s="256"/>
      <c r="J68" s="257"/>
      <c r="K68" s="255"/>
      <c r="L68" s="256"/>
      <c r="M68" s="257"/>
      <c r="N68" s="255"/>
      <c r="O68" s="256"/>
      <c r="P68" s="257"/>
    </row>
    <row r="69" spans="1:20" x14ac:dyDescent="0.15">
      <c r="A69" s="245"/>
      <c r="B69" s="249"/>
      <c r="C69" s="237"/>
      <c r="D69" s="237"/>
      <c r="E69" s="255"/>
      <c r="F69" s="256"/>
      <c r="G69" s="257"/>
      <c r="H69" s="255"/>
      <c r="I69" s="256"/>
      <c r="J69" s="257"/>
      <c r="K69" s="255"/>
      <c r="L69" s="256"/>
      <c r="M69" s="257"/>
      <c r="N69" s="255"/>
      <c r="O69" s="256"/>
      <c r="P69" s="257"/>
    </row>
    <row r="70" spans="1:20" x14ac:dyDescent="0.15">
      <c r="A70" s="245"/>
      <c r="B70" s="249"/>
      <c r="C70" s="237"/>
      <c r="D70" s="237"/>
      <c r="E70" s="255"/>
      <c r="F70" s="256"/>
      <c r="G70" s="257"/>
      <c r="H70" s="255"/>
      <c r="I70" s="256"/>
      <c r="J70" s="257"/>
      <c r="K70" s="255"/>
      <c r="L70" s="256"/>
      <c r="M70" s="257"/>
      <c r="N70" s="255"/>
      <c r="O70" s="256"/>
      <c r="P70" s="257"/>
    </row>
    <row r="71" spans="1:20" x14ac:dyDescent="0.15">
      <c r="A71" s="245"/>
      <c r="B71" s="249"/>
      <c r="C71" s="237"/>
      <c r="D71" s="237"/>
      <c r="E71" s="255"/>
      <c r="F71" s="256"/>
      <c r="G71" s="257"/>
      <c r="H71" s="255"/>
      <c r="I71" s="256"/>
      <c r="J71" s="257"/>
      <c r="K71" s="255"/>
      <c r="L71" s="256"/>
      <c r="M71" s="257"/>
      <c r="N71" s="255"/>
      <c r="O71" s="256"/>
      <c r="P71" s="257"/>
    </row>
    <row r="72" spans="1:20" x14ac:dyDescent="0.15">
      <c r="A72" s="245"/>
      <c r="B72" s="249"/>
      <c r="C72" s="237"/>
      <c r="D72" s="237"/>
      <c r="E72" s="255"/>
      <c r="F72" s="256"/>
      <c r="G72" s="257"/>
      <c r="H72" s="255"/>
      <c r="I72" s="256"/>
      <c r="J72" s="257"/>
      <c r="K72" s="255"/>
      <c r="L72" s="256"/>
      <c r="M72" s="257"/>
      <c r="N72" s="255"/>
      <c r="O72" s="256"/>
      <c r="P72" s="257"/>
    </row>
    <row r="73" spans="1:20" x14ac:dyDescent="0.15">
      <c r="A73" s="245"/>
      <c r="B73" s="249"/>
      <c r="C73" s="237"/>
      <c r="D73" s="237"/>
      <c r="E73" s="255"/>
      <c r="F73" s="256"/>
      <c r="G73" s="257"/>
      <c r="H73" s="255"/>
      <c r="I73" s="256"/>
      <c r="J73" s="257"/>
      <c r="K73" s="255"/>
      <c r="L73" s="256"/>
      <c r="M73" s="257"/>
      <c r="N73" s="255"/>
      <c r="O73" s="256"/>
      <c r="P73" s="257"/>
    </row>
    <row r="74" spans="1:20" x14ac:dyDescent="0.15">
      <c r="A74" s="245"/>
      <c r="B74" s="249"/>
      <c r="C74" s="237"/>
      <c r="D74" s="237"/>
      <c r="E74" s="255"/>
      <c r="F74" s="256"/>
      <c r="G74" s="257"/>
      <c r="H74" s="255"/>
      <c r="I74" s="256"/>
      <c r="J74" s="257"/>
      <c r="K74" s="255"/>
      <c r="L74" s="256"/>
      <c r="M74" s="257"/>
      <c r="N74" s="255"/>
      <c r="O74" s="256"/>
      <c r="P74" s="257"/>
    </row>
    <row r="75" spans="1:20" x14ac:dyDescent="0.15">
      <c r="A75" s="245"/>
      <c r="B75" s="249"/>
      <c r="C75" s="237"/>
      <c r="D75" s="237"/>
      <c r="E75" s="255"/>
      <c r="F75" s="256"/>
      <c r="G75" s="257"/>
      <c r="H75" s="255"/>
      <c r="I75" s="256"/>
      <c r="J75" s="257"/>
      <c r="K75" s="255"/>
      <c r="L75" s="256"/>
      <c r="M75" s="257"/>
      <c r="N75" s="255"/>
      <c r="O75" s="256"/>
      <c r="P75" s="257"/>
    </row>
    <row r="76" spans="1:20" x14ac:dyDescent="0.15">
      <c r="A76" s="245"/>
      <c r="B76" s="249"/>
      <c r="C76" s="237"/>
      <c r="D76" s="237"/>
      <c r="E76" s="255"/>
      <c r="F76" s="256"/>
      <c r="G76" s="257"/>
      <c r="H76" s="255"/>
      <c r="I76" s="256"/>
      <c r="J76" s="257"/>
      <c r="K76" s="255"/>
      <c r="L76" s="256"/>
      <c r="M76" s="257"/>
      <c r="N76" s="255"/>
      <c r="O76" s="256"/>
      <c r="P76" s="257"/>
    </row>
    <row r="77" spans="1:20" x14ac:dyDescent="0.15">
      <c r="A77" s="245"/>
      <c r="B77" s="249"/>
      <c r="C77" s="237"/>
      <c r="D77" s="237"/>
      <c r="E77" s="255"/>
      <c r="F77" s="256"/>
      <c r="G77" s="257"/>
      <c r="H77" s="255"/>
      <c r="I77" s="256"/>
      <c r="J77" s="257"/>
      <c r="K77" s="255"/>
      <c r="L77" s="256"/>
      <c r="M77" s="257"/>
      <c r="N77" s="255"/>
      <c r="O77" s="256"/>
      <c r="P77" s="257"/>
    </row>
    <row r="78" spans="1:20" x14ac:dyDescent="0.15">
      <c r="A78" s="245"/>
      <c r="B78" s="249"/>
      <c r="C78" s="237"/>
      <c r="D78" s="237"/>
      <c r="E78" s="255"/>
      <c r="F78" s="256"/>
      <c r="G78" s="257"/>
      <c r="H78" s="255"/>
      <c r="I78" s="256"/>
      <c r="J78" s="257"/>
      <c r="K78" s="255"/>
      <c r="L78" s="256"/>
      <c r="M78" s="257"/>
      <c r="N78" s="255"/>
      <c r="O78" s="256"/>
      <c r="P78" s="257"/>
    </row>
    <row r="79" spans="1:20" x14ac:dyDescent="0.15">
      <c r="A79" s="245"/>
      <c r="B79" s="249"/>
      <c r="C79" s="237"/>
      <c r="D79" s="237"/>
      <c r="E79" s="255"/>
      <c r="F79" s="256"/>
      <c r="G79" s="257"/>
      <c r="H79" s="255"/>
      <c r="I79" s="256"/>
      <c r="J79" s="257"/>
      <c r="K79" s="255"/>
      <c r="L79" s="256"/>
      <c r="M79" s="257"/>
      <c r="N79" s="255"/>
      <c r="O79" s="256"/>
      <c r="P79" s="257"/>
    </row>
    <row r="80" spans="1:20" x14ac:dyDescent="0.15">
      <c r="A80" s="245"/>
      <c r="B80" s="249"/>
      <c r="C80" s="237"/>
      <c r="D80" s="237"/>
      <c r="E80" s="255"/>
      <c r="F80" s="256"/>
      <c r="G80" s="257"/>
      <c r="H80" s="255"/>
      <c r="I80" s="256"/>
      <c r="J80" s="257"/>
      <c r="K80" s="255"/>
      <c r="L80" s="256"/>
      <c r="M80" s="257"/>
      <c r="N80" s="255"/>
      <c r="O80" s="256"/>
      <c r="P80" s="257"/>
    </row>
    <row r="81" spans="1:16" ht="12" thickBot="1" x14ac:dyDescent="0.2">
      <c r="A81" s="246"/>
      <c r="B81" s="250"/>
      <c r="C81" s="251"/>
      <c r="D81" s="251"/>
      <c r="E81" s="258"/>
      <c r="F81" s="259"/>
      <c r="G81" s="260"/>
      <c r="H81" s="258"/>
      <c r="I81" s="259"/>
      <c r="J81" s="260"/>
      <c r="K81" s="258"/>
      <c r="L81" s="259"/>
      <c r="M81" s="260"/>
      <c r="N81" s="258"/>
      <c r="O81" s="259"/>
      <c r="P81" s="260"/>
    </row>
    <row r="86" spans="1:16" ht="15" x14ac:dyDescent="0.2">
      <c r="A86" s="60" t="s">
        <v>222</v>
      </c>
    </row>
    <row r="87" spans="1:16" x14ac:dyDescent="0.15">
      <c r="A87" s="46"/>
    </row>
    <row r="88" spans="1:16" x14ac:dyDescent="0.15">
      <c r="A88" s="46" t="s">
        <v>239</v>
      </c>
    </row>
    <row r="89" spans="1:16" x14ac:dyDescent="0.15">
      <c r="A89" s="49" t="s">
        <v>219</v>
      </c>
      <c r="B89" s="50" t="s">
        <v>220</v>
      </c>
      <c r="C89" s="47"/>
    </row>
    <row r="90" spans="1:16" x14ac:dyDescent="0.15">
      <c r="A90" s="51">
        <f ca="1">SLOPE(Bilan!C7:I7,Bilan!C6:I6)</f>
        <v>1.0012771739130433</v>
      </c>
      <c r="B90" s="52">
        <f ca="1">INTERCEPT(Bilan!C7:I7,Bilan!C6:I6)</f>
        <v>0.40311956521739134</v>
      </c>
      <c r="C90" s="47"/>
    </row>
    <row r="92" spans="1:16" x14ac:dyDescent="0.15">
      <c r="A92" s="46" t="s">
        <v>223</v>
      </c>
      <c r="B92" s="45">
        <v>18</v>
      </c>
      <c r="D92" s="46" t="s">
        <v>221</v>
      </c>
    </row>
    <row r="94" spans="1:16" x14ac:dyDescent="0.15">
      <c r="A94" t="s">
        <v>263</v>
      </c>
      <c r="D94" s="48">
        <f ca="1">$B$92/$A$90</f>
        <v>17.977040193231474</v>
      </c>
    </row>
    <row r="95" spans="1:16" x14ac:dyDescent="0.15">
      <c r="D95" s="48"/>
    </row>
    <row r="96" spans="1:16" x14ac:dyDescent="0.15">
      <c r="A96" t="s">
        <v>264</v>
      </c>
      <c r="D96" s="48">
        <f ca="1">$B$92-($B$90)</f>
        <v>17.596880434782609</v>
      </c>
    </row>
    <row r="97" spans="1:4" x14ac:dyDescent="0.15">
      <c r="D97" s="48"/>
    </row>
    <row r="98" spans="1:4" x14ac:dyDescent="0.15">
      <c r="A98" t="s">
        <v>265</v>
      </c>
      <c r="D98" s="48">
        <f ca="1">($B$92-$B$90)/$A$90</f>
        <v>17.574434825087529</v>
      </c>
    </row>
  </sheetData>
  <sheetProtection algorithmName="SHA-512" hashValue="qVYwfdrNRmnLEuSRaubKpd4/9i1mjLZXXGjOforRu7FSz/4wr4juWvzKj/E2SuuDKlOe22wlCr7PiGI2+hryag==" saltValue="3ukw4r5RTAtO1yxj/TfC9g==" spinCount="100000" sheet="1" objects="1" scenarios="1"/>
  <mergeCells count="29">
    <mergeCell ref="N21:P21"/>
    <mergeCell ref="N22:P36"/>
    <mergeCell ref="N37:P51"/>
    <mergeCell ref="N52:P66"/>
    <mergeCell ref="N67:P81"/>
    <mergeCell ref="K21:M21"/>
    <mergeCell ref="H22:J36"/>
    <mergeCell ref="K22:M36"/>
    <mergeCell ref="A37:A51"/>
    <mergeCell ref="B37:D51"/>
    <mergeCell ref="E37:G51"/>
    <mergeCell ref="H37:J51"/>
    <mergeCell ref="K37:M51"/>
    <mergeCell ref="A22:A36"/>
    <mergeCell ref="B21:D21"/>
    <mergeCell ref="B22:D36"/>
    <mergeCell ref="E21:G21"/>
    <mergeCell ref="E22:G36"/>
    <mergeCell ref="H21:J21"/>
    <mergeCell ref="A67:A81"/>
    <mergeCell ref="B67:D81"/>
    <mergeCell ref="E67:G81"/>
    <mergeCell ref="H67:J81"/>
    <mergeCell ref="K67:M81"/>
    <mergeCell ref="A52:A66"/>
    <mergeCell ref="B52:D66"/>
    <mergeCell ref="E52:G66"/>
    <mergeCell ref="H52:J66"/>
    <mergeCell ref="K52:M66"/>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tabColor theme="6" tint="-0.249977111117893"/>
  </sheetPr>
  <dimension ref="A1:R35"/>
  <sheetViews>
    <sheetView zoomScaleNormal="100" workbookViewId="0">
      <selection activeCell="H31" sqref="H31"/>
    </sheetView>
  </sheetViews>
  <sheetFormatPr baseColWidth="10" defaultRowHeight="11.25" x14ac:dyDescent="0.15"/>
  <cols>
    <col min="1" max="1" width="54.875" customWidth="1"/>
    <col min="2" max="2" width="10.25" customWidth="1"/>
    <col min="3" max="3" width="4" customWidth="1"/>
    <col min="5" max="5" width="10.875" customWidth="1"/>
    <col min="6" max="6" width="15.75" customWidth="1"/>
    <col min="16" max="16" width="14.625" customWidth="1"/>
  </cols>
  <sheetData>
    <row r="1" spans="1:18" x14ac:dyDescent="0.15">
      <c r="A1" s="61"/>
      <c r="B1" s="63" t="s">
        <v>248</v>
      </c>
    </row>
    <row r="2" spans="1:18" x14ac:dyDescent="0.15">
      <c r="A2" s="62"/>
      <c r="B2" s="46" t="s">
        <v>249</v>
      </c>
    </row>
    <row r="6" spans="1:18" x14ac:dyDescent="0.15">
      <c r="A6" s="90"/>
      <c r="B6" s="91"/>
      <c r="C6" s="91"/>
      <c r="D6" s="91"/>
      <c r="E6" s="91"/>
      <c r="F6" s="91"/>
      <c r="G6" s="91"/>
      <c r="H6" s="91"/>
      <c r="I6" s="91"/>
      <c r="J6" s="91"/>
      <c r="K6" s="91"/>
      <c r="L6" s="91"/>
      <c r="M6" s="91"/>
      <c r="N6" s="91"/>
      <c r="O6" s="91"/>
      <c r="P6" s="92"/>
    </row>
    <row r="7" spans="1:18" ht="18" x14ac:dyDescent="0.25">
      <c r="A7" s="126" t="s">
        <v>260</v>
      </c>
      <c r="B7" s="94"/>
      <c r="C7" s="94"/>
      <c r="D7" s="94"/>
      <c r="E7" s="94"/>
      <c r="F7" s="94"/>
      <c r="G7" s="94"/>
      <c r="H7" s="94"/>
      <c r="I7" s="94"/>
      <c r="J7" s="94"/>
      <c r="K7" s="94"/>
      <c r="L7" s="94"/>
      <c r="M7" s="94"/>
      <c r="N7" s="94"/>
      <c r="O7" s="94"/>
      <c r="P7" s="95"/>
    </row>
    <row r="8" spans="1:18" ht="15" x14ac:dyDescent="0.25">
      <c r="A8" s="127" t="s">
        <v>262</v>
      </c>
      <c r="B8" s="128"/>
      <c r="C8" s="94"/>
      <c r="D8" s="94"/>
      <c r="E8" s="94"/>
      <c r="F8" s="94"/>
      <c r="G8" s="94"/>
      <c r="H8" s="129"/>
      <c r="I8" s="94"/>
      <c r="J8" s="94"/>
      <c r="K8" s="94"/>
      <c r="L8" s="94"/>
      <c r="M8" s="94"/>
      <c r="N8" s="94"/>
      <c r="O8" s="94"/>
      <c r="P8" s="95"/>
    </row>
    <row r="9" spans="1:18" x14ac:dyDescent="0.15">
      <c r="A9" s="97"/>
      <c r="B9" s="94"/>
      <c r="C9" s="94"/>
      <c r="D9" s="94"/>
      <c r="E9" s="94"/>
      <c r="F9" s="94"/>
      <c r="G9" s="94"/>
      <c r="H9" s="94"/>
      <c r="I9" s="94"/>
      <c r="J9" s="94"/>
      <c r="K9" s="94"/>
      <c r="L9" s="94"/>
      <c r="M9" s="94"/>
      <c r="N9" s="94"/>
      <c r="O9" s="94"/>
      <c r="P9" s="95"/>
    </row>
    <row r="10" spans="1:18" ht="15" x14ac:dyDescent="0.25">
      <c r="A10" s="130" t="s">
        <v>259</v>
      </c>
      <c r="B10" s="115">
        <v>20</v>
      </c>
      <c r="C10" s="94"/>
      <c r="D10" s="94"/>
      <c r="E10" s="94"/>
      <c r="F10" s="94"/>
      <c r="G10" s="94"/>
      <c r="H10" s="94"/>
      <c r="I10" s="94"/>
      <c r="J10" s="94"/>
      <c r="K10" s="94"/>
      <c r="L10" s="94"/>
      <c r="M10" s="94"/>
      <c r="N10" s="94"/>
      <c r="O10" s="94"/>
      <c r="P10" s="95"/>
    </row>
    <row r="11" spans="1:18" ht="15" x14ac:dyDescent="0.25">
      <c r="A11" s="97"/>
      <c r="B11" s="94"/>
      <c r="C11" s="132"/>
      <c r="D11" s="131"/>
      <c r="E11" s="94"/>
      <c r="F11" s="94"/>
      <c r="G11" s="94"/>
      <c r="H11" s="94"/>
      <c r="I11" s="94"/>
      <c r="J11" s="94"/>
      <c r="K11" s="94"/>
      <c r="L11" s="94"/>
      <c r="M11" s="94"/>
      <c r="N11" s="94"/>
      <c r="O11" s="94"/>
      <c r="P11" s="95"/>
    </row>
    <row r="12" spans="1:18" ht="15" x14ac:dyDescent="0.25">
      <c r="A12" s="133" t="s">
        <v>275</v>
      </c>
      <c r="B12" s="94"/>
      <c r="C12" s="132"/>
      <c r="D12" s="134"/>
      <c r="E12" s="94"/>
      <c r="F12" s="94"/>
      <c r="G12" s="94"/>
      <c r="H12" s="94"/>
      <c r="I12" s="94"/>
      <c r="J12" s="94"/>
      <c r="K12" s="94"/>
      <c r="L12" s="94"/>
      <c r="M12" s="94"/>
      <c r="N12" s="94"/>
      <c r="O12" s="94"/>
      <c r="P12" s="95"/>
    </row>
    <row r="13" spans="1:18" ht="15" x14ac:dyDescent="0.25">
      <c r="A13" s="97"/>
      <c r="B13" s="94"/>
      <c r="C13" s="132"/>
      <c r="D13" s="134"/>
      <c r="E13" s="94"/>
      <c r="F13" s="94"/>
      <c r="G13" s="94"/>
      <c r="H13" s="94"/>
      <c r="I13" s="94"/>
      <c r="J13" s="94"/>
      <c r="K13" s="94"/>
      <c r="L13" s="94"/>
      <c r="M13" s="94"/>
      <c r="N13" s="94"/>
      <c r="O13" s="94"/>
      <c r="P13" s="95"/>
    </row>
    <row r="14" spans="1:18" ht="15" x14ac:dyDescent="0.25">
      <c r="A14" s="120" t="s">
        <v>268</v>
      </c>
      <c r="B14" s="79">
        <f>$B$10</f>
        <v>20</v>
      </c>
      <c r="C14" s="121" t="s">
        <v>269</v>
      </c>
      <c r="D14" s="58">
        <f ca="1">$D$15/2</f>
        <v>1.013341231556379</v>
      </c>
      <c r="E14" s="122" t="s">
        <v>271</v>
      </c>
      <c r="F14" s="79"/>
      <c r="G14" s="94"/>
      <c r="H14" s="94"/>
      <c r="I14" s="94"/>
      <c r="J14" s="94"/>
      <c r="K14" s="94"/>
      <c r="L14" s="94"/>
      <c r="M14" s="94"/>
      <c r="N14" s="94"/>
      <c r="O14" s="94"/>
      <c r="P14" s="95"/>
    </row>
    <row r="15" spans="1:18" ht="15" x14ac:dyDescent="0.25">
      <c r="A15" s="120" t="s">
        <v>268</v>
      </c>
      <c r="B15" s="79">
        <f>$B$10</f>
        <v>20</v>
      </c>
      <c r="C15" s="121" t="s">
        <v>269</v>
      </c>
      <c r="D15" s="58">
        <f ca="1">$B$10*$D$16</f>
        <v>2.026682463112758</v>
      </c>
      <c r="E15" s="79" t="s">
        <v>270</v>
      </c>
      <c r="F15" s="122" t="s">
        <v>272</v>
      </c>
      <c r="G15" s="94"/>
      <c r="H15" s="128" t="s">
        <v>266</v>
      </c>
      <c r="I15" s="94"/>
      <c r="J15" s="94"/>
      <c r="K15" s="94"/>
      <c r="L15" s="107">
        <f ca="1">$B$10-$D$15</f>
        <v>17.973317536887244</v>
      </c>
      <c r="M15" s="137" t="s">
        <v>267</v>
      </c>
      <c r="N15" s="107">
        <f ca="1">$B$10+$D$15</f>
        <v>22.026682463112756</v>
      </c>
      <c r="O15" s="94"/>
      <c r="P15" s="95"/>
    </row>
    <row r="16" spans="1:18" ht="15.75" customHeight="1" x14ac:dyDescent="0.25">
      <c r="A16" s="135" t="s">
        <v>276</v>
      </c>
      <c r="B16" s="94">
        <f>$B$10</f>
        <v>20</v>
      </c>
      <c r="C16" s="94"/>
      <c r="D16" s="100">
        <f ca="1">Bilan!$C$32*POWER($B$10,Bilan!$C$31)</f>
        <v>0.10133412315563789</v>
      </c>
      <c r="E16" s="136" t="s">
        <v>277</v>
      </c>
      <c r="F16" s="94"/>
      <c r="G16" s="94"/>
      <c r="H16" s="94"/>
      <c r="I16" s="94"/>
      <c r="J16" s="94"/>
      <c r="K16" s="94"/>
      <c r="L16" s="94"/>
      <c r="M16" s="94"/>
      <c r="N16" s="128"/>
      <c r="O16" s="129"/>
      <c r="P16" s="95"/>
      <c r="Q16" s="47"/>
      <c r="R16" s="47"/>
    </row>
    <row r="17" spans="1:16" x14ac:dyDescent="0.15">
      <c r="A17" s="97"/>
      <c r="B17" s="94"/>
      <c r="C17" s="94"/>
      <c r="D17" s="94"/>
      <c r="E17" s="94"/>
      <c r="F17" s="94"/>
      <c r="G17" s="94"/>
      <c r="H17" s="94"/>
      <c r="I17" s="94"/>
      <c r="J17" s="94"/>
      <c r="K17" s="94"/>
      <c r="L17" s="94"/>
      <c r="M17" s="94"/>
      <c r="N17" s="94"/>
      <c r="O17" s="94"/>
      <c r="P17" s="95"/>
    </row>
    <row r="18" spans="1:16" x14ac:dyDescent="0.15">
      <c r="A18" s="97"/>
      <c r="B18" s="94"/>
      <c r="C18" s="94"/>
      <c r="D18" s="94"/>
      <c r="E18" s="94"/>
      <c r="F18" s="94"/>
      <c r="G18" s="94"/>
      <c r="H18" s="94"/>
      <c r="I18" s="94"/>
      <c r="J18" s="94"/>
      <c r="K18" s="94"/>
      <c r="L18" s="94"/>
      <c r="M18" s="94"/>
      <c r="N18" s="94"/>
      <c r="O18" s="94"/>
      <c r="P18" s="95"/>
    </row>
    <row r="19" spans="1:16" x14ac:dyDescent="0.15">
      <c r="A19" s="97"/>
      <c r="B19" s="94"/>
      <c r="C19" s="94"/>
      <c r="D19" s="94"/>
      <c r="E19" s="94"/>
      <c r="F19" s="94"/>
      <c r="G19" s="94"/>
      <c r="H19" s="94"/>
      <c r="I19" s="94"/>
      <c r="J19" s="94"/>
      <c r="K19" s="94"/>
      <c r="L19" s="94"/>
      <c r="M19" s="94"/>
      <c r="N19" s="94"/>
      <c r="O19" s="94"/>
      <c r="P19" s="95"/>
    </row>
    <row r="20" spans="1:16" x14ac:dyDescent="0.15">
      <c r="A20" s="109"/>
      <c r="B20" s="110"/>
      <c r="C20" s="110"/>
      <c r="D20" s="110"/>
      <c r="E20" s="110"/>
      <c r="F20" s="110"/>
      <c r="G20" s="110"/>
      <c r="H20" s="110"/>
      <c r="I20" s="110"/>
      <c r="J20" s="110"/>
      <c r="K20" s="110"/>
      <c r="L20" s="110"/>
      <c r="M20" s="110"/>
      <c r="N20" s="110"/>
      <c r="O20" s="110"/>
      <c r="P20" s="111"/>
    </row>
    <row r="21" spans="1:16" x14ac:dyDescent="0.15">
      <c r="A21" s="67"/>
      <c r="B21" s="68"/>
      <c r="C21" s="68"/>
      <c r="D21" s="68"/>
      <c r="E21" s="68"/>
      <c r="F21" s="68"/>
      <c r="G21" s="68"/>
      <c r="H21" s="68"/>
      <c r="I21" s="68"/>
      <c r="J21" s="68"/>
      <c r="K21" s="68"/>
      <c r="L21" s="68"/>
      <c r="M21" s="68"/>
      <c r="N21" s="68"/>
      <c r="O21" s="68"/>
      <c r="P21" s="69"/>
    </row>
    <row r="22" spans="1:16" ht="18" x14ac:dyDescent="0.25">
      <c r="A22" s="112" t="s">
        <v>261</v>
      </c>
      <c r="P22" s="71"/>
    </row>
    <row r="23" spans="1:16" x14ac:dyDescent="0.15">
      <c r="A23" s="72" t="s">
        <v>289</v>
      </c>
      <c r="P23" s="71"/>
    </row>
    <row r="24" spans="1:16" x14ac:dyDescent="0.15">
      <c r="A24" s="73"/>
      <c r="P24" s="71"/>
    </row>
    <row r="25" spans="1:16" ht="15" x14ac:dyDescent="0.25">
      <c r="A25" s="114" t="s">
        <v>273</v>
      </c>
      <c r="B25" s="115">
        <v>22</v>
      </c>
      <c r="P25" s="71"/>
    </row>
    <row r="26" spans="1:16" ht="15" x14ac:dyDescent="0.25">
      <c r="A26" s="73" t="s">
        <v>292</v>
      </c>
      <c r="C26" s="116"/>
      <c r="D26" s="117"/>
      <c r="P26" s="71"/>
    </row>
    <row r="27" spans="1:16" ht="15" x14ac:dyDescent="0.25">
      <c r="A27" s="73"/>
      <c r="C27" s="116"/>
      <c r="D27" s="117"/>
      <c r="P27" s="71"/>
    </row>
    <row r="28" spans="1:16" ht="15" x14ac:dyDescent="0.25">
      <c r="A28" s="118" t="s">
        <v>275</v>
      </c>
      <c r="C28" s="116"/>
      <c r="D28" s="119"/>
      <c r="P28" s="71"/>
    </row>
    <row r="29" spans="1:16" ht="15" x14ac:dyDescent="0.25">
      <c r="A29" s="73"/>
      <c r="C29" s="116"/>
      <c r="D29" s="119"/>
      <c r="P29" s="71"/>
    </row>
    <row r="30" spans="1:16" ht="15" x14ac:dyDescent="0.25">
      <c r="A30" s="120" t="s">
        <v>274</v>
      </c>
      <c r="B30" s="79">
        <f>$B$25</f>
        <v>22</v>
      </c>
      <c r="C30" s="121" t="s">
        <v>269</v>
      </c>
      <c r="D30" s="58">
        <f ca="1">$D$31/2</f>
        <v>1.0579830503486718</v>
      </c>
      <c r="E30" s="122" t="s">
        <v>271</v>
      </c>
      <c r="F30" s="79"/>
      <c r="P30" s="71"/>
    </row>
    <row r="31" spans="1:16" ht="15" x14ac:dyDescent="0.25">
      <c r="A31" s="120" t="s">
        <v>274</v>
      </c>
      <c r="B31" s="79">
        <f>$B$25</f>
        <v>22</v>
      </c>
      <c r="C31" s="121" t="s">
        <v>269</v>
      </c>
      <c r="D31" s="58">
        <f ca="1">$B$25*$D$32</f>
        <v>2.1159661006973436</v>
      </c>
      <c r="E31" s="79" t="s">
        <v>270</v>
      </c>
      <c r="F31" s="122" t="s">
        <v>272</v>
      </c>
      <c r="H31" s="113" t="s">
        <v>266</v>
      </c>
      <c r="L31" s="52">
        <f ca="1">$B$25-$D$31</f>
        <v>19.884033899302658</v>
      </c>
      <c r="M31" s="123" t="s">
        <v>267</v>
      </c>
      <c r="N31" s="52">
        <f ca="1">$B$25+$D$31</f>
        <v>24.115966100697342</v>
      </c>
      <c r="P31" s="71"/>
    </row>
    <row r="32" spans="1:16" ht="15" x14ac:dyDescent="0.25">
      <c r="A32" s="124" t="s">
        <v>284</v>
      </c>
      <c r="B32">
        <f>$B$25</f>
        <v>22</v>
      </c>
      <c r="D32" s="75">
        <f ca="1">Bilan!$C$32*POWER($B$25,Bilan!$C$31)</f>
        <v>9.6180277304424716E-2</v>
      </c>
      <c r="E32" s="125" t="s">
        <v>277</v>
      </c>
      <c r="P32" s="71"/>
    </row>
    <row r="33" spans="1:16" x14ac:dyDescent="0.15">
      <c r="A33" s="73" t="s">
        <v>285</v>
      </c>
      <c r="P33" s="71"/>
    </row>
    <row r="34" spans="1:16" x14ac:dyDescent="0.15">
      <c r="A34" s="73"/>
      <c r="P34" s="71"/>
    </row>
    <row r="35" spans="1:16" x14ac:dyDescent="0.15">
      <c r="A35" s="80"/>
      <c r="B35" s="81"/>
      <c r="C35" s="81"/>
      <c r="D35" s="81"/>
      <c r="E35" s="81"/>
      <c r="F35" s="81"/>
      <c r="G35" s="81"/>
      <c r="H35" s="81"/>
      <c r="I35" s="81"/>
      <c r="J35" s="81"/>
      <c r="K35" s="81"/>
      <c r="L35" s="81"/>
      <c r="M35" s="81"/>
      <c r="N35" s="81"/>
      <c r="O35" s="81"/>
      <c r="P35" s="82"/>
    </row>
  </sheetData>
  <sheetProtection algorithmName="SHA-512" hashValue="/Gd0y1mbjx7NcAHaX8JfZeNktO9EDjrwR5CawiYZf1DSPBG7Kl/MDEpxq5lWSj86smo72KCUwYHeluLhGAJsfA==" saltValue="5xiJUvkaBGcwX2Q4jjPing==" spinCount="100000" sheet="1" objects="1" scenarios="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4">
    <tabColor theme="6" tint="-0.499984740745262"/>
  </sheetPr>
  <dimension ref="B1:S79"/>
  <sheetViews>
    <sheetView topLeftCell="A19" zoomScale="80" zoomScaleNormal="80" workbookViewId="0">
      <selection activeCell="K47" sqref="K47"/>
    </sheetView>
  </sheetViews>
  <sheetFormatPr baseColWidth="10" defaultRowHeight="11.25" x14ac:dyDescent="0.15"/>
  <cols>
    <col min="1" max="1" width="4" customWidth="1"/>
    <col min="2" max="2" width="48" customWidth="1"/>
    <col min="3" max="3" width="29.875" customWidth="1"/>
    <col min="4" max="4" width="14.25" customWidth="1"/>
    <col min="8" max="8" width="30.75" customWidth="1"/>
  </cols>
  <sheetData>
    <row r="1" spans="2:19" x14ac:dyDescent="0.15">
      <c r="B1" s="64"/>
      <c r="C1" t="s">
        <v>248</v>
      </c>
    </row>
    <row r="2" spans="2:19" x14ac:dyDescent="0.15">
      <c r="B2" s="62"/>
      <c r="C2" t="s">
        <v>249</v>
      </c>
    </row>
    <row r="3" spans="2:19" ht="12" customHeight="1" x14ac:dyDescent="0.15"/>
    <row r="4" spans="2:19" ht="12" customHeight="1" x14ac:dyDescent="0.15"/>
    <row r="5" spans="2:19" ht="12" customHeight="1" x14ac:dyDescent="0.15">
      <c r="B5" s="90"/>
      <c r="C5" s="91"/>
      <c r="D5" s="91"/>
      <c r="E5" s="91"/>
      <c r="F5" s="91"/>
      <c r="G5" s="91"/>
      <c r="H5" s="91"/>
      <c r="I5" s="91"/>
      <c r="J5" s="91"/>
      <c r="K5" s="91"/>
      <c r="L5" s="91"/>
      <c r="M5" s="91"/>
      <c r="N5" s="91"/>
      <c r="O5" s="91"/>
      <c r="P5" s="91"/>
      <c r="Q5" s="91"/>
      <c r="R5" s="91"/>
      <c r="S5" s="92"/>
    </row>
    <row r="6" spans="2:19" ht="18" x14ac:dyDescent="0.25">
      <c r="B6" s="93" t="s">
        <v>302</v>
      </c>
      <c r="C6" s="94"/>
      <c r="D6" s="94"/>
      <c r="E6" s="94"/>
      <c r="F6" s="94"/>
      <c r="G6" s="94"/>
      <c r="H6" s="94"/>
      <c r="I6" s="94"/>
      <c r="J6" s="94"/>
      <c r="K6" s="94"/>
      <c r="L6" s="94"/>
      <c r="M6" s="94"/>
      <c r="N6" s="94"/>
      <c r="O6" s="94"/>
      <c r="P6" s="94"/>
      <c r="Q6" s="94"/>
      <c r="R6" s="94"/>
      <c r="S6" s="95"/>
    </row>
    <row r="7" spans="2:19" x14ac:dyDescent="0.15">
      <c r="B7" s="96" t="s">
        <v>286</v>
      </c>
      <c r="C7" s="94"/>
      <c r="D7" s="94"/>
      <c r="E7" s="94"/>
      <c r="F7" s="94"/>
      <c r="G7" s="94"/>
      <c r="H7" s="94"/>
      <c r="I7" s="94"/>
      <c r="J7" s="94"/>
      <c r="K7" s="94"/>
      <c r="L7" s="94"/>
      <c r="M7" s="94"/>
      <c r="N7" s="94"/>
      <c r="O7" s="94"/>
      <c r="P7" s="94"/>
      <c r="Q7" s="94"/>
      <c r="R7" s="94"/>
      <c r="S7" s="95"/>
    </row>
    <row r="8" spans="2:19" x14ac:dyDescent="0.15">
      <c r="B8" s="96" t="s">
        <v>288</v>
      </c>
      <c r="C8" s="94"/>
      <c r="D8" s="94"/>
      <c r="E8" s="94"/>
      <c r="F8" s="94"/>
      <c r="G8" s="94"/>
      <c r="H8" s="94"/>
      <c r="I8" s="94"/>
      <c r="J8" s="94"/>
      <c r="K8" s="94"/>
      <c r="L8" s="94"/>
      <c r="M8" s="94"/>
      <c r="N8" s="94"/>
      <c r="O8" s="94"/>
      <c r="P8" s="94"/>
      <c r="Q8" s="94"/>
      <c r="R8" s="94"/>
      <c r="S8" s="95"/>
    </row>
    <row r="9" spans="2:19" x14ac:dyDescent="0.15">
      <c r="B9" s="96"/>
      <c r="C9" s="94"/>
      <c r="D9" s="94"/>
      <c r="E9" s="94"/>
      <c r="F9" s="94"/>
      <c r="G9" s="94"/>
      <c r="H9" s="94"/>
      <c r="I9" s="94"/>
      <c r="J9" s="94"/>
      <c r="K9" s="94"/>
      <c r="L9" s="94"/>
      <c r="M9" s="94"/>
      <c r="N9" s="94"/>
      <c r="O9" s="94"/>
      <c r="P9" s="94"/>
      <c r="Q9" s="94"/>
      <c r="R9" s="94"/>
      <c r="S9" s="95"/>
    </row>
    <row r="10" spans="2:19" ht="17.25" x14ac:dyDescent="0.25">
      <c r="B10" s="97"/>
      <c r="C10" s="98" t="s">
        <v>250</v>
      </c>
      <c r="D10" s="84">
        <v>18</v>
      </c>
      <c r="E10" s="94"/>
      <c r="F10" s="94"/>
      <c r="G10" s="98" t="s">
        <v>251</v>
      </c>
      <c r="H10" s="84">
        <v>23</v>
      </c>
      <c r="I10" s="94"/>
      <c r="J10" s="94"/>
      <c r="K10" s="94"/>
      <c r="L10" s="94"/>
      <c r="M10" s="94"/>
      <c r="N10" s="94"/>
      <c r="O10" s="94"/>
      <c r="P10" s="94"/>
      <c r="Q10" s="94"/>
      <c r="R10" s="94"/>
      <c r="S10" s="95"/>
    </row>
    <row r="11" spans="2:19" ht="15" x14ac:dyDescent="0.25">
      <c r="B11" s="97"/>
      <c r="C11" s="98" t="s">
        <v>252</v>
      </c>
      <c r="D11" s="99">
        <f ca="1">($D$10*$D$12)/2</f>
        <v>0.96618079773030818</v>
      </c>
      <c r="E11" s="94"/>
      <c r="F11" s="94"/>
      <c r="G11" s="94"/>
      <c r="H11" s="99">
        <f ca="1">($H$10*$H$12)/2</f>
        <v>1.0794708958755508</v>
      </c>
      <c r="I11" s="94"/>
      <c r="J11" s="94"/>
      <c r="K11" s="94"/>
      <c r="L11" s="94"/>
      <c r="M11" s="94"/>
      <c r="N11" s="94"/>
      <c r="O11" s="94"/>
      <c r="P11" s="94"/>
      <c r="Q11" s="94"/>
      <c r="R11" s="94"/>
      <c r="S11" s="95"/>
    </row>
    <row r="12" spans="2:19" ht="32.25" hidden="1" customHeight="1" x14ac:dyDescent="0.25">
      <c r="B12" s="97"/>
      <c r="C12" s="98"/>
      <c r="D12" s="100">
        <f ca="1">Bilan!$C$32*POWER($D$10,Bilan!$C$31)</f>
        <v>0.10735342197003424</v>
      </c>
      <c r="E12" s="94"/>
      <c r="F12" s="94"/>
      <c r="G12" s="98"/>
      <c r="H12" s="100">
        <f ca="1">Bilan!$C$32*POWER($H$10,Bilan!$C$31)</f>
        <v>9.3867034423960938E-2</v>
      </c>
      <c r="I12" s="94"/>
      <c r="J12" s="94"/>
      <c r="K12" s="94"/>
      <c r="L12" s="94"/>
      <c r="M12" s="94"/>
      <c r="N12" s="94"/>
      <c r="O12" s="94"/>
      <c r="P12" s="94"/>
      <c r="Q12" s="94"/>
      <c r="R12" s="94"/>
      <c r="S12" s="95"/>
    </row>
    <row r="13" spans="2:19" x14ac:dyDescent="0.15">
      <c r="B13" s="97"/>
      <c r="C13" s="94"/>
      <c r="D13" s="94"/>
      <c r="E13" s="94"/>
      <c r="F13" s="94"/>
      <c r="G13" s="94"/>
      <c r="H13" s="94"/>
      <c r="I13" s="94"/>
      <c r="J13" s="94"/>
      <c r="K13" s="94"/>
      <c r="L13" s="94"/>
      <c r="M13" s="94"/>
      <c r="N13" s="94"/>
      <c r="O13" s="94"/>
      <c r="P13" s="94"/>
      <c r="Q13" s="94"/>
      <c r="R13" s="94"/>
      <c r="S13" s="95"/>
    </row>
    <row r="14" spans="2:19" ht="30" x14ac:dyDescent="0.15">
      <c r="B14" s="101" t="s">
        <v>253</v>
      </c>
      <c r="C14" s="102" t="s">
        <v>254</v>
      </c>
      <c r="D14" s="102" t="s">
        <v>255</v>
      </c>
      <c r="E14" s="94"/>
      <c r="F14" s="94"/>
      <c r="G14" s="94"/>
      <c r="H14" s="94"/>
      <c r="I14" s="94"/>
      <c r="J14" s="94"/>
      <c r="K14" s="94"/>
      <c r="L14" s="94"/>
      <c r="M14" s="94"/>
      <c r="N14" s="94"/>
      <c r="O14" s="94"/>
      <c r="P14" s="94"/>
      <c r="Q14" s="94"/>
      <c r="R14" s="94"/>
      <c r="S14" s="95"/>
    </row>
    <row r="15" spans="2:19" ht="14.25" x14ac:dyDescent="0.2">
      <c r="B15" s="103">
        <f ca="1">2*SQRT($D$11^2+$H$11^2)</f>
        <v>2.8974214391041833</v>
      </c>
      <c r="C15" s="104">
        <f>ABS($D$10-$H$10)</f>
        <v>5</v>
      </c>
      <c r="D15" s="66" t="str">
        <f ca="1">IF($C$15&gt;$B$15,"oui","non")</f>
        <v>oui</v>
      </c>
      <c r="E15" s="94"/>
      <c r="F15" s="94"/>
      <c r="G15" s="94"/>
      <c r="H15" s="94"/>
      <c r="I15" s="94"/>
      <c r="J15" s="94"/>
      <c r="K15" s="94"/>
      <c r="L15" s="94"/>
      <c r="M15" s="94"/>
      <c r="N15" s="94"/>
      <c r="O15" s="94"/>
      <c r="P15" s="94"/>
      <c r="Q15" s="94"/>
      <c r="R15" s="94"/>
      <c r="S15" s="95"/>
    </row>
    <row r="16" spans="2:19" x14ac:dyDescent="0.15">
      <c r="B16" s="97"/>
      <c r="C16" s="94"/>
      <c r="D16" s="94"/>
      <c r="E16" s="94"/>
      <c r="F16" s="94"/>
      <c r="G16" s="94"/>
      <c r="H16" s="94"/>
      <c r="I16" s="94"/>
      <c r="J16" s="94"/>
      <c r="K16" s="94"/>
      <c r="L16" s="94"/>
      <c r="M16" s="94"/>
      <c r="N16" s="94"/>
      <c r="O16" s="94"/>
      <c r="P16" s="94"/>
      <c r="Q16" s="94"/>
      <c r="R16" s="94"/>
      <c r="S16" s="95"/>
    </row>
    <row r="17" spans="2:19" x14ac:dyDescent="0.15">
      <c r="B17" s="97"/>
      <c r="C17" s="94"/>
      <c r="D17" s="94"/>
      <c r="E17" s="94"/>
      <c r="F17" s="94"/>
      <c r="G17" s="94"/>
      <c r="H17" s="94"/>
      <c r="I17" s="94"/>
      <c r="J17" s="94"/>
      <c r="K17" s="94"/>
      <c r="L17" s="94"/>
      <c r="M17" s="94"/>
      <c r="N17" s="94"/>
      <c r="O17" s="94"/>
      <c r="P17" s="94"/>
      <c r="Q17" s="94"/>
      <c r="R17" s="94"/>
      <c r="S17" s="95"/>
    </row>
    <row r="18" spans="2:19" x14ac:dyDescent="0.15">
      <c r="B18" s="97"/>
      <c r="C18" s="94"/>
      <c r="D18" s="94"/>
      <c r="E18" s="94"/>
      <c r="F18" s="94"/>
      <c r="G18" s="94"/>
      <c r="H18" s="94"/>
      <c r="I18" s="94"/>
      <c r="J18" s="94"/>
      <c r="K18" s="94"/>
      <c r="L18" s="94"/>
      <c r="M18" s="94"/>
      <c r="N18" s="94"/>
      <c r="O18" s="94"/>
      <c r="P18" s="94"/>
      <c r="Q18" s="94"/>
      <c r="R18" s="94"/>
      <c r="S18" s="95"/>
    </row>
    <row r="19" spans="2:19" x14ac:dyDescent="0.15">
      <c r="B19" s="97"/>
      <c r="C19" s="94"/>
      <c r="D19" s="94"/>
      <c r="E19" s="94"/>
      <c r="F19" s="94"/>
      <c r="G19" s="94"/>
      <c r="H19" s="94"/>
      <c r="I19" s="94"/>
      <c r="J19" s="94"/>
      <c r="K19" s="94"/>
      <c r="L19" s="94"/>
      <c r="M19" s="94"/>
      <c r="N19" s="94"/>
      <c r="O19" s="94"/>
      <c r="P19" s="94"/>
      <c r="Q19" s="94"/>
      <c r="R19" s="94"/>
      <c r="S19" s="95"/>
    </row>
    <row r="20" spans="2:19" ht="18" x14ac:dyDescent="0.25">
      <c r="B20" s="105" t="s">
        <v>304</v>
      </c>
      <c r="C20" s="94"/>
      <c r="D20" s="94"/>
      <c r="E20" s="94"/>
      <c r="F20" s="94"/>
      <c r="G20" s="94"/>
      <c r="H20" s="94"/>
      <c r="I20" s="94"/>
      <c r="J20" s="94"/>
      <c r="K20" s="94"/>
      <c r="L20" s="94"/>
      <c r="M20" s="94"/>
      <c r="N20" s="94"/>
      <c r="O20" s="94"/>
      <c r="P20" s="94"/>
      <c r="Q20" s="94"/>
      <c r="R20" s="94"/>
      <c r="S20" s="95"/>
    </row>
    <row r="21" spans="2:19" x14ac:dyDescent="0.15">
      <c r="B21" s="96" t="s">
        <v>287</v>
      </c>
      <c r="C21" s="94"/>
      <c r="D21" s="94"/>
      <c r="E21" s="94"/>
      <c r="F21" s="94"/>
      <c r="G21" s="94"/>
      <c r="H21" s="94"/>
      <c r="I21" s="94"/>
      <c r="J21" s="94"/>
      <c r="K21" s="94"/>
      <c r="L21" s="94"/>
      <c r="M21" s="94"/>
      <c r="N21" s="94"/>
      <c r="O21" s="94"/>
      <c r="P21" s="94"/>
      <c r="Q21" s="94"/>
      <c r="R21" s="94"/>
      <c r="S21" s="95"/>
    </row>
    <row r="22" spans="2:19" x14ac:dyDescent="0.15">
      <c r="B22" s="97"/>
      <c r="C22" s="94"/>
      <c r="D22" s="94"/>
      <c r="E22" s="94"/>
      <c r="F22" s="94"/>
      <c r="G22" s="94"/>
      <c r="H22" s="94"/>
      <c r="I22" s="94"/>
      <c r="J22" s="94"/>
      <c r="K22" s="94"/>
      <c r="L22" s="94"/>
      <c r="M22" s="94"/>
      <c r="N22" s="94"/>
      <c r="O22" s="94"/>
      <c r="P22" s="94"/>
      <c r="Q22" s="94"/>
      <c r="R22" s="94"/>
      <c r="S22" s="95"/>
    </row>
    <row r="23" spans="2:19" ht="17.25" x14ac:dyDescent="0.25">
      <c r="B23" s="97"/>
      <c r="C23" s="98" t="s">
        <v>278</v>
      </c>
      <c r="D23" s="84">
        <v>18</v>
      </c>
      <c r="E23" s="94"/>
      <c r="F23" s="94"/>
      <c r="G23" s="98" t="s">
        <v>279</v>
      </c>
      <c r="H23" s="84">
        <v>23</v>
      </c>
      <c r="I23" s="94"/>
      <c r="J23" s="94"/>
      <c r="K23" s="94"/>
      <c r="L23" s="94"/>
      <c r="M23" s="94"/>
      <c r="N23" s="94"/>
      <c r="O23" s="94"/>
      <c r="P23" s="94"/>
      <c r="Q23" s="94"/>
      <c r="R23" s="94"/>
      <c r="S23" s="95"/>
    </row>
    <row r="24" spans="2:19" ht="15" x14ac:dyDescent="0.25">
      <c r="B24" s="97"/>
      <c r="C24" s="98" t="s">
        <v>252</v>
      </c>
      <c r="D24" s="99">
        <f ca="1">($D$23*$D$25)/2</f>
        <v>0.96618079773030818</v>
      </c>
      <c r="E24" s="94"/>
      <c r="F24" s="94"/>
      <c r="G24" s="94"/>
      <c r="H24" s="99">
        <f ca="1">($H$23*$H$25)/2</f>
        <v>1.0794708958755508</v>
      </c>
      <c r="I24" s="94"/>
      <c r="J24" s="94"/>
      <c r="K24" s="94"/>
      <c r="L24" s="94"/>
      <c r="M24" s="94"/>
      <c r="N24" s="94"/>
      <c r="O24" s="94"/>
      <c r="P24" s="94"/>
      <c r="Q24" s="94"/>
      <c r="R24" s="94"/>
      <c r="S24" s="95"/>
    </row>
    <row r="25" spans="2:19" ht="34.5" hidden="1" customHeight="1" x14ac:dyDescent="0.25">
      <c r="B25" s="97"/>
      <c r="C25" s="98"/>
      <c r="D25" s="100">
        <f ca="1">Bilan!$C$32*POWER($D$23,Bilan!$C$31)</f>
        <v>0.10735342197003424</v>
      </c>
      <c r="E25" s="94"/>
      <c r="F25" s="94"/>
      <c r="G25" s="98"/>
      <c r="H25" s="100">
        <f ca="1">Bilan!$C$32*POWER($H$23,Bilan!$C$31)</f>
        <v>9.3867034423960938E-2</v>
      </c>
      <c r="I25" s="94"/>
      <c r="J25" s="94"/>
      <c r="K25" s="94"/>
      <c r="L25" s="94"/>
      <c r="M25" s="94"/>
      <c r="N25" s="94"/>
      <c r="O25" s="94"/>
      <c r="P25" s="94"/>
      <c r="Q25" s="94"/>
      <c r="R25" s="94"/>
      <c r="S25" s="95"/>
    </row>
    <row r="26" spans="2:19" ht="37.5" hidden="1" customHeight="1" x14ac:dyDescent="0.15">
      <c r="B26" s="101" t="s">
        <v>253</v>
      </c>
      <c r="C26" s="102" t="s">
        <v>254</v>
      </c>
      <c r="D26" s="102" t="s">
        <v>255</v>
      </c>
      <c r="E26" s="94"/>
      <c r="F26" s="94"/>
      <c r="G26" s="94"/>
      <c r="H26" s="94"/>
      <c r="I26" s="94"/>
      <c r="J26" s="94"/>
      <c r="K26" s="94"/>
      <c r="L26" s="94"/>
      <c r="M26" s="94"/>
      <c r="N26" s="94"/>
      <c r="O26" s="94"/>
      <c r="P26" s="94"/>
      <c r="Q26" s="94"/>
      <c r="R26" s="94"/>
      <c r="S26" s="95"/>
    </row>
    <row r="27" spans="2:19" ht="38.25" hidden="1" customHeight="1" x14ac:dyDescent="0.15">
      <c r="B27" s="106">
        <f ca="1">2*SQRT($D$24^2+$H$24^2)</f>
        <v>2.8974214391041833</v>
      </c>
      <c r="C27" s="107">
        <f>ABS($D$23-$H$23)</f>
        <v>5</v>
      </c>
      <c r="D27" s="107" t="str">
        <f ca="1">IF($C$27&gt;$B$27,"oui","non")</f>
        <v>oui</v>
      </c>
      <c r="E27" s="94"/>
      <c r="F27" s="94"/>
      <c r="G27" s="94"/>
      <c r="H27" s="94"/>
      <c r="I27" s="94"/>
      <c r="J27" s="94"/>
      <c r="K27" s="94"/>
      <c r="L27" s="94"/>
      <c r="M27" s="94"/>
      <c r="N27" s="94"/>
      <c r="O27" s="94"/>
      <c r="P27" s="94"/>
      <c r="Q27" s="94"/>
      <c r="R27" s="94"/>
      <c r="S27" s="95"/>
    </row>
    <row r="28" spans="2:19" x14ac:dyDescent="0.15">
      <c r="B28" s="97"/>
      <c r="C28" s="94"/>
      <c r="D28" s="94"/>
      <c r="E28" s="94"/>
      <c r="F28" s="94"/>
      <c r="G28" s="94"/>
      <c r="H28" s="94"/>
      <c r="I28" s="94"/>
      <c r="J28" s="94"/>
      <c r="K28" s="94"/>
      <c r="L28" s="94"/>
      <c r="M28" s="94"/>
      <c r="N28" s="94"/>
      <c r="O28" s="94"/>
      <c r="P28" s="94"/>
      <c r="Q28" s="94"/>
      <c r="R28" s="94"/>
      <c r="S28" s="95"/>
    </row>
    <row r="29" spans="2:19" ht="14.25" x14ac:dyDescent="0.2">
      <c r="B29" s="97"/>
      <c r="C29" s="94"/>
      <c r="D29" s="94"/>
      <c r="E29" s="94"/>
      <c r="F29" s="94"/>
      <c r="G29" s="94"/>
      <c r="H29" s="94"/>
      <c r="I29" s="94"/>
      <c r="J29" s="108" t="s">
        <v>306</v>
      </c>
      <c r="K29" s="86">
        <f ca="1">(((3.84)*($B$27^2))/($C$27^2))</f>
        <v>1.2894798329518935</v>
      </c>
      <c r="L29" s="94"/>
      <c r="M29" s="94"/>
      <c r="N29" s="94"/>
      <c r="O29" s="94"/>
      <c r="P29" s="94"/>
      <c r="Q29" s="94"/>
      <c r="R29" s="94"/>
      <c r="S29" s="95"/>
    </row>
    <row r="30" spans="2:19" ht="14.25" x14ac:dyDescent="0.2">
      <c r="B30" s="97"/>
      <c r="C30" s="94"/>
      <c r="D30" s="94"/>
      <c r="E30" s="94"/>
      <c r="F30" s="94"/>
      <c r="G30" s="94"/>
      <c r="H30" s="94"/>
      <c r="I30" s="94"/>
      <c r="J30" s="108" t="s">
        <v>280</v>
      </c>
      <c r="K30" s="86">
        <f ca="1">(((7.68)*($B$27^2))/($C$27^2))</f>
        <v>2.578959665903787</v>
      </c>
      <c r="L30" s="94"/>
      <c r="M30" s="94"/>
      <c r="N30" s="94"/>
      <c r="O30" s="94"/>
      <c r="P30" s="94"/>
      <c r="Q30" s="94"/>
      <c r="R30" s="94"/>
      <c r="S30" s="95"/>
    </row>
    <row r="31" spans="2:19" x14ac:dyDescent="0.15">
      <c r="B31" s="97"/>
      <c r="C31" s="94"/>
      <c r="D31" s="94"/>
      <c r="E31" s="94"/>
      <c r="F31" s="94"/>
      <c r="G31" s="94"/>
      <c r="H31" s="94"/>
      <c r="I31" s="94"/>
      <c r="J31" s="94"/>
      <c r="K31" s="94"/>
      <c r="L31" s="94"/>
      <c r="M31" s="94"/>
      <c r="N31" s="94"/>
      <c r="O31" s="94"/>
      <c r="P31" s="94"/>
      <c r="Q31" s="94"/>
      <c r="R31" s="94"/>
      <c r="S31" s="95"/>
    </row>
    <row r="32" spans="2:19" x14ac:dyDescent="0.15">
      <c r="B32" s="109"/>
      <c r="C32" s="110"/>
      <c r="D32" s="110"/>
      <c r="E32" s="110"/>
      <c r="F32" s="110"/>
      <c r="G32" s="110"/>
      <c r="H32" s="110"/>
      <c r="I32" s="110"/>
      <c r="J32" s="110"/>
      <c r="K32" s="110"/>
      <c r="L32" s="110"/>
      <c r="M32" s="110"/>
      <c r="N32" s="110"/>
      <c r="O32" s="110"/>
      <c r="P32" s="110"/>
      <c r="Q32" s="110"/>
      <c r="R32" s="110"/>
      <c r="S32" s="111"/>
    </row>
    <row r="33" spans="2:19" x14ac:dyDescent="0.15">
      <c r="B33" s="67"/>
      <c r="C33" s="68"/>
      <c r="D33" s="68"/>
      <c r="E33" s="68"/>
      <c r="F33" s="68"/>
      <c r="G33" s="68"/>
      <c r="H33" s="68"/>
      <c r="I33" s="68"/>
      <c r="J33" s="68"/>
      <c r="K33" s="68"/>
      <c r="L33" s="68"/>
      <c r="M33" s="68"/>
      <c r="N33" s="68"/>
      <c r="O33" s="68"/>
      <c r="P33" s="68"/>
      <c r="Q33" s="68"/>
      <c r="R33" s="68"/>
      <c r="S33" s="69"/>
    </row>
    <row r="34" spans="2:19" ht="18" x14ac:dyDescent="0.25">
      <c r="B34" s="70" t="s">
        <v>301</v>
      </c>
      <c r="S34" s="71"/>
    </row>
    <row r="35" spans="2:19" x14ac:dyDescent="0.15">
      <c r="B35" s="72" t="s">
        <v>297</v>
      </c>
      <c r="S35" s="71"/>
    </row>
    <row r="36" spans="2:19" x14ac:dyDescent="0.15">
      <c r="B36" s="72" t="s">
        <v>288</v>
      </c>
      <c r="S36" s="71"/>
    </row>
    <row r="37" spans="2:19" x14ac:dyDescent="0.15">
      <c r="B37" s="73"/>
      <c r="S37" s="71"/>
    </row>
    <row r="38" spans="2:19" x14ac:dyDescent="0.15">
      <c r="B38" s="73"/>
      <c r="S38" s="71"/>
    </row>
    <row r="39" spans="2:19" ht="15" x14ac:dyDescent="0.25">
      <c r="B39" s="73"/>
      <c r="C39" s="74" t="s">
        <v>295</v>
      </c>
      <c r="D39" s="84">
        <v>19.100000000000001</v>
      </c>
      <c r="G39" s="74" t="s">
        <v>294</v>
      </c>
      <c r="H39" s="84">
        <v>18</v>
      </c>
      <c r="S39" s="71"/>
    </row>
    <row r="40" spans="2:19" ht="15" x14ac:dyDescent="0.25">
      <c r="B40" s="73"/>
      <c r="C40" s="74" t="s">
        <v>252</v>
      </c>
      <c r="D40" s="85">
        <f ca="1">($D$39*$D$41)/2</f>
        <v>0.99245475049927334</v>
      </c>
      <c r="S40" s="71"/>
    </row>
    <row r="41" spans="2:19" hidden="1" x14ac:dyDescent="0.15">
      <c r="B41" s="73"/>
      <c r="D41" s="75">
        <f ca="1">Bilan!$C$32*POWER($D$39,Bilan!$C$31)</f>
        <v>0.10392196340306527</v>
      </c>
      <c r="S41" s="71"/>
    </row>
    <row r="42" spans="2:19" x14ac:dyDescent="0.15">
      <c r="B42" s="73"/>
      <c r="S42" s="71"/>
    </row>
    <row r="43" spans="2:19" ht="30" x14ac:dyDescent="0.15">
      <c r="B43" s="76" t="s">
        <v>253</v>
      </c>
      <c r="C43" s="57" t="s">
        <v>296</v>
      </c>
      <c r="D43" s="57" t="s">
        <v>255</v>
      </c>
      <c r="S43" s="71"/>
    </row>
    <row r="44" spans="2:19" ht="14.25" x14ac:dyDescent="0.2">
      <c r="B44" s="77">
        <f ca="1">2*$D$40</f>
        <v>1.9849095009985467</v>
      </c>
      <c r="C44" s="65">
        <f>ABS($D$39-$H$39)</f>
        <v>1.1000000000000014</v>
      </c>
      <c r="D44" s="66" t="str">
        <f ca="1">IF($C$44&gt;$B$44,"oui","non")</f>
        <v>non</v>
      </c>
      <c r="S44" s="71"/>
    </row>
    <row r="45" spans="2:19" x14ac:dyDescent="0.15">
      <c r="B45" s="73"/>
      <c r="S45" s="71"/>
    </row>
    <row r="46" spans="2:19" x14ac:dyDescent="0.15">
      <c r="B46" s="73"/>
      <c r="S46" s="71"/>
    </row>
    <row r="47" spans="2:19" ht="18" x14ac:dyDescent="0.25">
      <c r="B47" s="83" t="s">
        <v>303</v>
      </c>
      <c r="S47" s="71"/>
    </row>
    <row r="48" spans="2:19" x14ac:dyDescent="0.15">
      <c r="B48" s="72" t="s">
        <v>287</v>
      </c>
      <c r="S48" s="71"/>
    </row>
    <row r="49" spans="2:19" x14ac:dyDescent="0.15">
      <c r="B49" s="73"/>
      <c r="S49" s="71"/>
    </row>
    <row r="50" spans="2:19" ht="15" x14ac:dyDescent="0.25">
      <c r="B50" s="73"/>
      <c r="C50" s="74" t="s">
        <v>298</v>
      </c>
      <c r="D50" s="84">
        <v>19</v>
      </c>
      <c r="G50" s="74" t="s">
        <v>293</v>
      </c>
      <c r="H50" s="84">
        <v>18</v>
      </c>
      <c r="S50" s="71"/>
    </row>
    <row r="51" spans="2:19" ht="15" x14ac:dyDescent="0.25">
      <c r="B51" s="73"/>
      <c r="C51" s="74" t="s">
        <v>252</v>
      </c>
      <c r="D51" s="85">
        <f ca="1">($D$50*$D$52)/2</f>
        <v>0.99010104033437218</v>
      </c>
      <c r="H51" s="48"/>
      <c r="S51" s="71"/>
    </row>
    <row r="52" spans="2:19" ht="15" hidden="1" x14ac:dyDescent="0.25">
      <c r="B52" s="73"/>
      <c r="C52" s="74"/>
      <c r="D52" s="75">
        <f ca="1">Bilan!$C$32*POWER($D$50,Bilan!$C$31)</f>
        <v>0.10422116214046023</v>
      </c>
      <c r="G52" s="74"/>
      <c r="H52" s="75">
        <f ca="1">Bilan!$C$32*POWER($H$23,Bilan!$C$31)</f>
        <v>9.3867034423960938E-2</v>
      </c>
      <c r="S52" s="71"/>
    </row>
    <row r="53" spans="2:19" ht="30" hidden="1" x14ac:dyDescent="0.15">
      <c r="B53" s="76" t="s">
        <v>253</v>
      </c>
      <c r="C53" s="57" t="s">
        <v>254</v>
      </c>
      <c r="D53" s="57" t="s">
        <v>255</v>
      </c>
      <c r="S53" s="71"/>
    </row>
    <row r="54" spans="2:19" hidden="1" x14ac:dyDescent="0.15">
      <c r="B54" s="78">
        <f ca="1">2*SQRT($D$24^2+$H$24^2)</f>
        <v>2.8974214391041833</v>
      </c>
      <c r="C54" s="51">
        <f>ABS($D$50-$H$50)</f>
        <v>1</v>
      </c>
      <c r="D54" s="58" t="str">
        <f ca="1">IF($C$27&gt;$B$27,"oui","non")</f>
        <v>oui</v>
      </c>
      <c r="S54" s="71"/>
    </row>
    <row r="55" spans="2:19" x14ac:dyDescent="0.15">
      <c r="B55" s="73"/>
      <c r="S55" s="71"/>
    </row>
    <row r="56" spans="2:19" ht="14.25" x14ac:dyDescent="0.2">
      <c r="B56" s="88"/>
      <c r="C56" s="47"/>
      <c r="D56" s="47"/>
      <c r="E56" s="47"/>
      <c r="F56" s="47"/>
      <c r="G56" s="47"/>
      <c r="H56" s="47"/>
      <c r="I56" s="47"/>
      <c r="J56" s="89" t="s">
        <v>299</v>
      </c>
      <c r="K56" s="86">
        <f ca="1">(((3.84)*($D$51^2))/($C$54^2))</f>
        <v>3.7643522690734312</v>
      </c>
      <c r="S56" s="71"/>
    </row>
    <row r="57" spans="2:19" x14ac:dyDescent="0.15">
      <c r="B57" s="73"/>
      <c r="S57" s="71"/>
    </row>
    <row r="58" spans="2:19" x14ac:dyDescent="0.15">
      <c r="B58" s="80"/>
      <c r="C58" s="81"/>
      <c r="D58" s="81"/>
      <c r="E58" s="81"/>
      <c r="F58" s="81"/>
      <c r="G58" s="81"/>
      <c r="H58" s="81"/>
      <c r="I58" s="81"/>
      <c r="J58" s="81"/>
      <c r="K58" s="81"/>
      <c r="L58" s="81"/>
      <c r="M58" s="81"/>
      <c r="N58" s="81"/>
      <c r="O58" s="81"/>
      <c r="P58" s="81"/>
      <c r="Q58" s="81"/>
      <c r="R58" s="81"/>
      <c r="S58" s="82"/>
    </row>
    <row r="60" spans="2:19" ht="12.75" x14ac:dyDescent="0.2">
      <c r="B60" s="87" t="s">
        <v>352</v>
      </c>
    </row>
    <row r="61" spans="2:19" ht="12.75" x14ac:dyDescent="0.2">
      <c r="B61" s="87" t="s">
        <v>351</v>
      </c>
    </row>
    <row r="62" spans="2:19" ht="14.25" x14ac:dyDescent="0.25">
      <c r="B62" s="87" t="s">
        <v>421</v>
      </c>
    </row>
    <row r="63" spans="2:19" ht="12.75" x14ac:dyDescent="0.2">
      <c r="B63" s="87" t="s">
        <v>300</v>
      </c>
    </row>
    <row r="64" spans="2:19" ht="12.75" x14ac:dyDescent="0.2">
      <c r="B64" s="87" t="s">
        <v>305</v>
      </c>
    </row>
    <row r="66" spans="2:19" ht="12.75" x14ac:dyDescent="0.2">
      <c r="B66" s="87" t="s">
        <v>335</v>
      </c>
    </row>
    <row r="67" spans="2:19" x14ac:dyDescent="0.15">
      <c r="B67" s="151" t="s">
        <v>334</v>
      </c>
    </row>
    <row r="70" spans="2:19" x14ac:dyDescent="0.15">
      <c r="B70" s="155"/>
      <c r="C70" s="156"/>
      <c r="D70" s="156"/>
      <c r="E70" s="156"/>
      <c r="F70" s="156"/>
      <c r="G70" s="156"/>
      <c r="H70" s="156"/>
      <c r="I70" s="156"/>
      <c r="J70" s="156"/>
      <c r="K70" s="156"/>
      <c r="L70" s="156"/>
      <c r="M70" s="156"/>
      <c r="N70" s="156"/>
      <c r="O70" s="156"/>
      <c r="P70" s="156"/>
      <c r="Q70" s="156"/>
      <c r="R70" s="156"/>
      <c r="S70" s="157"/>
    </row>
    <row r="71" spans="2:19" ht="18" x14ac:dyDescent="0.25">
      <c r="B71" s="153" t="s">
        <v>350</v>
      </c>
      <c r="C71" s="158"/>
      <c r="D71" s="158"/>
      <c r="E71" s="158"/>
      <c r="F71" s="158"/>
      <c r="G71" s="158"/>
      <c r="H71" s="158"/>
      <c r="I71" s="158"/>
      <c r="J71" s="158"/>
      <c r="K71" s="158"/>
      <c r="L71" s="158"/>
      <c r="M71" s="158"/>
      <c r="N71" s="158"/>
      <c r="O71" s="158"/>
      <c r="P71" s="158"/>
      <c r="Q71" s="158"/>
      <c r="R71" s="158"/>
      <c r="S71" s="159"/>
    </row>
    <row r="72" spans="2:19" x14ac:dyDescent="0.15">
      <c r="B72" s="160"/>
      <c r="C72" s="158"/>
      <c r="D72" s="158"/>
      <c r="E72" s="158"/>
      <c r="F72" s="158"/>
      <c r="G72" s="158"/>
      <c r="H72" s="158"/>
      <c r="I72" s="158"/>
      <c r="J72" s="158"/>
      <c r="K72" s="158"/>
      <c r="L72" s="158"/>
      <c r="M72" s="158"/>
      <c r="N72" s="158"/>
      <c r="O72" s="158"/>
      <c r="P72" s="158"/>
      <c r="Q72" s="158"/>
      <c r="R72" s="158"/>
      <c r="S72" s="159"/>
    </row>
    <row r="73" spans="2:19" ht="15" x14ac:dyDescent="0.25">
      <c r="B73" s="160"/>
      <c r="C73" s="154" t="s">
        <v>295</v>
      </c>
      <c r="D73" s="84">
        <v>20</v>
      </c>
      <c r="E73" s="158"/>
      <c r="F73" s="161" t="s">
        <v>345</v>
      </c>
      <c r="G73" s="158"/>
      <c r="H73" s="158"/>
      <c r="I73" s="234">
        <f ca="1">$D$73-$D$74</f>
        <v>17.973317536887244</v>
      </c>
      <c r="J73" s="162" t="s">
        <v>340</v>
      </c>
      <c r="K73" s="235">
        <f ca="1">$D$73+$D$74</f>
        <v>22.026682463112756</v>
      </c>
      <c r="L73" s="164" t="s">
        <v>341</v>
      </c>
      <c r="M73" s="165">
        <f ca="1">$D$74/$D$73</f>
        <v>0.1013341231556379</v>
      </c>
      <c r="N73" s="161" t="s">
        <v>347</v>
      </c>
      <c r="O73" s="158"/>
      <c r="P73" s="158"/>
      <c r="Q73" s="158"/>
      <c r="R73" s="158"/>
      <c r="S73" s="159"/>
    </row>
    <row r="74" spans="2:19" ht="15" hidden="1" x14ac:dyDescent="0.25">
      <c r="B74" s="160"/>
      <c r="C74" s="154" t="s">
        <v>339</v>
      </c>
      <c r="D74" s="171">
        <f ca="1">($D$73*$D$75)</f>
        <v>2.026682463112758</v>
      </c>
      <c r="E74" s="158"/>
      <c r="F74" s="158">
        <f>($D$73*$D$76)/100</f>
        <v>2</v>
      </c>
      <c r="G74" s="158"/>
      <c r="H74" s="158"/>
      <c r="I74" s="158"/>
      <c r="J74" s="158"/>
      <c r="K74" s="166"/>
      <c r="L74" s="158"/>
      <c r="M74" s="158"/>
      <c r="N74" s="158"/>
      <c r="O74" s="158"/>
      <c r="P74" s="158"/>
      <c r="Q74" s="158"/>
      <c r="R74" s="158"/>
      <c r="S74" s="159"/>
    </row>
    <row r="75" spans="2:19" ht="15" hidden="1" x14ac:dyDescent="0.25">
      <c r="B75" s="160"/>
      <c r="C75" s="154"/>
      <c r="D75" s="172">
        <f ca="1">Bilan!$C$32*POWER($D$73,Bilan!$C$31)</f>
        <v>0.10133412315563789</v>
      </c>
      <c r="E75" s="158"/>
      <c r="F75" s="158"/>
      <c r="G75" s="158"/>
      <c r="H75" s="158"/>
      <c r="I75" s="158"/>
      <c r="J75" s="158"/>
      <c r="K75" s="166"/>
      <c r="L75" s="158"/>
      <c r="M75" s="158"/>
      <c r="N75" s="158"/>
      <c r="O75" s="158"/>
      <c r="P75" s="158"/>
      <c r="Q75" s="158"/>
      <c r="R75" s="158"/>
      <c r="S75" s="159"/>
    </row>
    <row r="76" spans="2:19" ht="15" x14ac:dyDescent="0.25">
      <c r="B76" s="160"/>
      <c r="C76" s="154" t="s">
        <v>346</v>
      </c>
      <c r="D76" s="84">
        <v>10</v>
      </c>
      <c r="E76" s="158" t="s">
        <v>342</v>
      </c>
      <c r="F76" s="161" t="s">
        <v>349</v>
      </c>
      <c r="G76" s="158"/>
      <c r="H76" s="158"/>
      <c r="I76" s="234">
        <f>$D$73-$F$74</f>
        <v>18</v>
      </c>
      <c r="J76" s="163" t="s">
        <v>340</v>
      </c>
      <c r="K76" s="235">
        <f>$D$73+$F$74</f>
        <v>22</v>
      </c>
      <c r="L76" s="164" t="s">
        <v>344</v>
      </c>
      <c r="M76" s="165">
        <f>$F$74/$D$73</f>
        <v>0.1</v>
      </c>
      <c r="N76" s="161" t="s">
        <v>348</v>
      </c>
      <c r="O76" s="158"/>
      <c r="P76" s="158"/>
      <c r="Q76" s="158"/>
      <c r="R76" s="158"/>
      <c r="S76" s="159"/>
    </row>
    <row r="77" spans="2:19" ht="15" x14ac:dyDescent="0.25">
      <c r="B77" s="160"/>
      <c r="C77" s="154" t="s">
        <v>343</v>
      </c>
      <c r="D77" s="86">
        <f ca="1">(4*($D$74/2)^2)/($F$74^2)</f>
        <v>1.0268604515721989</v>
      </c>
      <c r="E77" s="158"/>
      <c r="F77" s="158"/>
      <c r="G77" s="158"/>
      <c r="H77" s="158"/>
      <c r="I77" s="158"/>
      <c r="J77" s="158"/>
      <c r="K77" s="158"/>
      <c r="L77" s="158"/>
      <c r="M77" s="158"/>
      <c r="N77" s="158"/>
      <c r="O77" s="158"/>
      <c r="P77" s="158"/>
      <c r="Q77" s="158"/>
      <c r="R77" s="158"/>
      <c r="S77" s="159"/>
    </row>
    <row r="78" spans="2:19" x14ac:dyDescent="0.15">
      <c r="B78" s="160"/>
      <c r="C78" s="158"/>
      <c r="D78" s="158"/>
      <c r="E78" s="158"/>
      <c r="F78" s="158"/>
      <c r="G78" s="158"/>
      <c r="H78" s="158"/>
      <c r="I78" s="158"/>
      <c r="J78" s="158"/>
      <c r="K78" s="158"/>
      <c r="L78" s="158"/>
      <c r="M78" s="158"/>
      <c r="N78" s="158"/>
      <c r="O78" s="158"/>
      <c r="P78" s="158"/>
      <c r="Q78" s="158"/>
      <c r="R78" s="158"/>
      <c r="S78" s="159"/>
    </row>
    <row r="79" spans="2:19" x14ac:dyDescent="0.15">
      <c r="B79" s="167"/>
      <c r="C79" s="168"/>
      <c r="D79" s="168"/>
      <c r="E79" s="168"/>
      <c r="F79" s="168"/>
      <c r="G79" s="168"/>
      <c r="H79" s="169"/>
      <c r="I79" s="168"/>
      <c r="J79" s="168"/>
      <c r="K79" s="168"/>
      <c r="L79" s="168"/>
      <c r="M79" s="168"/>
      <c r="N79" s="168"/>
      <c r="O79" s="168"/>
      <c r="P79" s="168"/>
      <c r="Q79" s="168"/>
      <c r="R79" s="168"/>
      <c r="S79" s="170"/>
    </row>
  </sheetData>
  <sheetProtection password="D828" sheet="1" objects="1" scenarios="1"/>
  <hyperlinks>
    <hyperlink ref="B67" r:id="rId1"/>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5">
    <tabColor rgb="FF7030A0"/>
  </sheetPr>
  <dimension ref="A1:L41"/>
  <sheetViews>
    <sheetView tabSelected="1" zoomScaleNormal="100" workbookViewId="0">
      <selection activeCell="A47" sqref="A47"/>
    </sheetView>
  </sheetViews>
  <sheetFormatPr baseColWidth="10" defaultRowHeight="11.25" x14ac:dyDescent="0.15"/>
  <cols>
    <col min="1" max="1" width="44.625" customWidth="1"/>
    <col min="2" max="2" width="16.25" customWidth="1"/>
  </cols>
  <sheetData>
    <row r="1" spans="1:2" x14ac:dyDescent="0.15">
      <c r="A1" s="61"/>
      <c r="B1" s="46" t="s">
        <v>311</v>
      </c>
    </row>
    <row r="2" spans="1:2" x14ac:dyDescent="0.15">
      <c r="A2" s="62"/>
      <c r="B2" s="46" t="s">
        <v>249</v>
      </c>
    </row>
    <row r="5" spans="1:2" ht="15" x14ac:dyDescent="0.2">
      <c r="A5" s="138" t="s">
        <v>324</v>
      </c>
    </row>
    <row r="8" spans="1:2" ht="15" x14ac:dyDescent="0.2">
      <c r="A8" s="60" t="s">
        <v>314</v>
      </c>
    </row>
    <row r="10" spans="1:2" x14ac:dyDescent="0.15">
      <c r="A10" s="139" t="s">
        <v>325</v>
      </c>
      <c r="B10" s="149">
        <v>6</v>
      </c>
    </row>
    <row r="11" spans="1:2" hidden="1" x14ac:dyDescent="0.15">
      <c r="B11" s="100">
        <f ca="1">Bilan!$C$32*POWER($B$10,Bilan!$C$31)</f>
        <v>0.19593981840817731</v>
      </c>
    </row>
    <row r="14" spans="1:2" x14ac:dyDescent="0.15">
      <c r="B14" s="139" t="s">
        <v>330</v>
      </c>
    </row>
    <row r="16" spans="1:2" ht="22.5" customHeight="1" x14ac:dyDescent="0.15">
      <c r="A16" s="146" t="s">
        <v>309</v>
      </c>
      <c r="B16" s="144">
        <f ca="1">$B$18+((($B$10*$B$11)/2)*3)</f>
        <v>7.7634583656735963</v>
      </c>
    </row>
    <row r="17" spans="1:12" ht="22.5" customHeight="1" x14ac:dyDescent="0.15">
      <c r="A17" s="147" t="s">
        <v>308</v>
      </c>
      <c r="B17" s="144">
        <f ca="1">$B$18+($B$10*$B$11)</f>
        <v>7.1756389104490639</v>
      </c>
    </row>
    <row r="18" spans="1:12" ht="22.5" customHeight="1" x14ac:dyDescent="0.15">
      <c r="A18" s="148" t="s">
        <v>307</v>
      </c>
      <c r="B18" s="145">
        <f>$B$10</f>
        <v>6</v>
      </c>
    </row>
    <row r="19" spans="1:12" ht="22.5" customHeight="1" x14ac:dyDescent="0.15">
      <c r="A19" s="147" t="s">
        <v>310</v>
      </c>
      <c r="B19" s="144">
        <f ca="1">$B$18-($B$10*$B$11)</f>
        <v>4.8243610895509361</v>
      </c>
    </row>
    <row r="20" spans="1:12" ht="22.5" customHeight="1" x14ac:dyDescent="0.15">
      <c r="A20" s="146" t="s">
        <v>313</v>
      </c>
      <c r="B20" s="144">
        <f ca="1">$B$18-((($B$10*$B$11)/2)*3)</f>
        <v>4.2365416343264037</v>
      </c>
    </row>
    <row r="24" spans="1:12" x14ac:dyDescent="0.15">
      <c r="A24" s="46" t="s">
        <v>312</v>
      </c>
    </row>
    <row r="28" spans="1:12" ht="15" x14ac:dyDescent="0.2">
      <c r="A28" s="60" t="s">
        <v>326</v>
      </c>
    </row>
    <row r="29" spans="1:12" x14ac:dyDescent="0.15">
      <c r="A29" s="46"/>
    </row>
    <row r="30" spans="1:12" x14ac:dyDescent="0.15">
      <c r="A30" s="46" t="s">
        <v>331</v>
      </c>
    </row>
    <row r="32" spans="1:12" x14ac:dyDescent="0.15">
      <c r="A32" s="143" t="s">
        <v>315</v>
      </c>
      <c r="B32" s="283" t="s">
        <v>318</v>
      </c>
      <c r="C32" s="283"/>
      <c r="D32" s="283"/>
      <c r="E32" s="283" t="s">
        <v>319</v>
      </c>
      <c r="F32" s="283"/>
      <c r="G32" s="283"/>
      <c r="H32" s="283"/>
      <c r="I32" s="283"/>
      <c r="J32" s="283"/>
      <c r="K32" s="283"/>
      <c r="L32" s="283"/>
    </row>
    <row r="33" spans="1:12" ht="33" customHeight="1" x14ac:dyDescent="0.15">
      <c r="A33" s="140" t="s">
        <v>316</v>
      </c>
      <c r="B33" s="284" t="s">
        <v>317</v>
      </c>
      <c r="C33" s="285"/>
      <c r="D33" s="285"/>
      <c r="E33" s="284" t="s">
        <v>320</v>
      </c>
      <c r="F33" s="285"/>
      <c r="G33" s="285"/>
      <c r="H33" s="285"/>
      <c r="I33" s="285"/>
      <c r="J33" s="285"/>
      <c r="K33" s="285"/>
      <c r="L33" s="285"/>
    </row>
    <row r="34" spans="1:12" ht="33" customHeight="1" x14ac:dyDescent="0.15">
      <c r="A34" s="141" t="s">
        <v>323</v>
      </c>
      <c r="B34" s="278" t="s">
        <v>321</v>
      </c>
      <c r="C34" s="279"/>
      <c r="D34" s="279"/>
      <c r="E34" s="278" t="s">
        <v>320</v>
      </c>
      <c r="F34" s="279"/>
      <c r="G34" s="279"/>
      <c r="H34" s="279"/>
      <c r="I34" s="279"/>
      <c r="J34" s="279"/>
      <c r="K34" s="279"/>
      <c r="L34" s="279"/>
    </row>
    <row r="35" spans="1:12" ht="47.25" customHeight="1" x14ac:dyDescent="0.15">
      <c r="A35" s="142" t="s">
        <v>322</v>
      </c>
      <c r="B35" s="280" t="s">
        <v>327</v>
      </c>
      <c r="C35" s="281"/>
      <c r="D35" s="282"/>
      <c r="E35" s="280" t="s">
        <v>328</v>
      </c>
      <c r="F35" s="281"/>
      <c r="G35" s="281"/>
      <c r="H35" s="281"/>
      <c r="I35" s="281"/>
      <c r="J35" s="281"/>
      <c r="K35" s="281"/>
      <c r="L35" s="282"/>
    </row>
    <row r="38" spans="1:12" ht="15" x14ac:dyDescent="0.2">
      <c r="A38" s="150" t="s">
        <v>329</v>
      </c>
    </row>
    <row r="40" spans="1:12" x14ac:dyDescent="0.15">
      <c r="A40" t="s">
        <v>333</v>
      </c>
    </row>
    <row r="41" spans="1:12" x14ac:dyDescent="0.15">
      <c r="A41" s="151" t="s">
        <v>332</v>
      </c>
    </row>
  </sheetData>
  <sheetProtection password="D828" sheet="1" objects="1" scenarios="1"/>
  <mergeCells count="8">
    <mergeCell ref="B34:D34"/>
    <mergeCell ref="E34:L34"/>
    <mergeCell ref="B35:D35"/>
    <mergeCell ref="E35:L35"/>
    <mergeCell ref="B32:D32"/>
    <mergeCell ref="E32:L32"/>
    <mergeCell ref="B33:D33"/>
    <mergeCell ref="E33:L33"/>
  </mergeCells>
  <hyperlinks>
    <hyperlink ref="A41" r:id="rId1"/>
  </hyperlinks>
  <pageMargins left="0.7" right="0.7" top="0.75" bottom="0.75" header="0.3" footer="0.3"/>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sheetPr>
  <dimension ref="A1:L76"/>
  <sheetViews>
    <sheetView zoomScale="70" zoomScaleNormal="70" workbookViewId="0">
      <selection activeCell="M66" sqref="M66"/>
    </sheetView>
  </sheetViews>
  <sheetFormatPr baseColWidth="10" defaultRowHeight="11.25" x14ac:dyDescent="0.15"/>
  <cols>
    <col min="1" max="1" width="68.875" customWidth="1"/>
    <col min="2" max="2" width="21.5" customWidth="1"/>
    <col min="4" max="4" width="15.75" customWidth="1"/>
  </cols>
  <sheetData>
    <row r="1" spans="1:2" x14ac:dyDescent="0.15">
      <c r="A1" s="173" t="s">
        <v>392</v>
      </c>
      <c r="B1" s="45"/>
    </row>
    <row r="2" spans="1:2" x14ac:dyDescent="0.15">
      <c r="A2" s="173" t="s">
        <v>355</v>
      </c>
      <c r="B2" s="45"/>
    </row>
    <row r="3" spans="1:2" x14ac:dyDescent="0.15">
      <c r="A3" s="173"/>
    </row>
    <row r="5" spans="1:2" ht="15" x14ac:dyDescent="0.2">
      <c r="A5" s="60" t="s">
        <v>353</v>
      </c>
    </row>
    <row r="6" spans="1:2" ht="15" x14ac:dyDescent="0.2">
      <c r="A6" s="60"/>
    </row>
    <row r="7" spans="1:2" x14ac:dyDescent="0.15">
      <c r="A7" s="173" t="s">
        <v>359</v>
      </c>
      <c r="B7" s="45"/>
    </row>
    <row r="8" spans="1:2" x14ac:dyDescent="0.15">
      <c r="A8" s="173" t="s">
        <v>356</v>
      </c>
      <c r="B8" s="45"/>
    </row>
    <row r="9" spans="1:2" x14ac:dyDescent="0.15">
      <c r="A9" s="173" t="s">
        <v>354</v>
      </c>
      <c r="B9" s="45"/>
    </row>
    <row r="10" spans="1:2" x14ac:dyDescent="0.15">
      <c r="A10" s="173" t="s">
        <v>420</v>
      </c>
      <c r="B10" s="45"/>
    </row>
    <row r="11" spans="1:2" x14ac:dyDescent="0.15">
      <c r="A11" s="173" t="s">
        <v>357</v>
      </c>
      <c r="B11" s="45"/>
    </row>
    <row r="12" spans="1:2" x14ac:dyDescent="0.15">
      <c r="A12" s="173" t="s">
        <v>363</v>
      </c>
      <c r="B12" s="45"/>
    </row>
    <row r="13" spans="1:2" x14ac:dyDescent="0.15">
      <c r="A13" s="173" t="s">
        <v>358</v>
      </c>
      <c r="B13" s="45"/>
    </row>
    <row r="16" spans="1:2" ht="15" x14ac:dyDescent="0.2">
      <c r="A16" s="60" t="s">
        <v>360</v>
      </c>
    </row>
    <row r="18" spans="1:2" ht="12" x14ac:dyDescent="0.2">
      <c r="A18" s="174" t="s">
        <v>364</v>
      </c>
      <c r="B18" s="220">
        <f>Bilan!C3</f>
        <v>0.3</v>
      </c>
    </row>
    <row r="19" spans="1:2" ht="12" x14ac:dyDescent="0.2">
      <c r="A19" s="174" t="s">
        <v>361</v>
      </c>
      <c r="B19" s="220">
        <f>Bilan!C2</f>
        <v>0.8</v>
      </c>
    </row>
    <row r="21" spans="1:2" x14ac:dyDescent="0.15">
      <c r="A21" s="173" t="s">
        <v>365</v>
      </c>
      <c r="B21" s="45"/>
    </row>
    <row r="22" spans="1:2" x14ac:dyDescent="0.15">
      <c r="A22" s="173" t="s">
        <v>366</v>
      </c>
      <c r="B22" s="45"/>
    </row>
    <row r="24" spans="1:2" x14ac:dyDescent="0.15">
      <c r="A24" s="173" t="s">
        <v>408</v>
      </c>
      <c r="B24" s="45"/>
    </row>
    <row r="25" spans="1:2" x14ac:dyDescent="0.15">
      <c r="A25" s="173" t="s">
        <v>362</v>
      </c>
      <c r="B25" s="45"/>
    </row>
    <row r="27" spans="1:2" x14ac:dyDescent="0.15">
      <c r="A27" s="173" t="s">
        <v>367</v>
      </c>
      <c r="B27" s="45"/>
    </row>
    <row r="28" spans="1:2" ht="12" customHeight="1" x14ac:dyDescent="0.15">
      <c r="A28" s="201" t="s">
        <v>423</v>
      </c>
      <c r="B28" s="45"/>
    </row>
    <row r="29" spans="1:2" x14ac:dyDescent="0.15">
      <c r="A29" s="233" t="s">
        <v>422</v>
      </c>
    </row>
    <row r="31" spans="1:2" ht="15" x14ac:dyDescent="0.2">
      <c r="A31" s="60" t="s">
        <v>387</v>
      </c>
    </row>
    <row r="32" spans="1:2" ht="15" x14ac:dyDescent="0.2">
      <c r="A32" s="60"/>
    </row>
    <row r="33" spans="1:8" x14ac:dyDescent="0.15">
      <c r="A33" s="173" t="s">
        <v>419</v>
      </c>
      <c r="B33" s="224">
        <f ca="1">Bilan!C6</f>
        <v>1.6</v>
      </c>
      <c r="C33" s="224">
        <f ca="1">Bilan!D6</f>
        <v>3.6</v>
      </c>
      <c r="D33" s="224">
        <f ca="1">Bilan!E6</f>
        <v>5.6</v>
      </c>
      <c r="E33" s="224">
        <f ca="1">Bilan!F6</f>
        <v>7.6</v>
      </c>
      <c r="F33" s="224">
        <f ca="1">Bilan!G6</f>
        <v>9.6</v>
      </c>
      <c r="G33" s="224">
        <f ca="1">Bilan!H6</f>
        <v>11.6</v>
      </c>
      <c r="H33" s="224">
        <f ca="1">Bilan!I6</f>
        <v>21.6</v>
      </c>
    </row>
    <row r="35" spans="1:8" x14ac:dyDescent="0.15">
      <c r="B35" s="226" t="str">
        <f ca="1">IF((_xlfn.NUMBERVALUE(Bilan!C19)), IF(AND(Bilan!C19&gt;=Bilan!C21, Bilan!C19&lt;=Bilan!C22), "valide", "invalide"),"")</f>
        <v>valide</v>
      </c>
      <c r="C35" s="226" t="str">
        <f ca="1">IF((_xlfn.NUMBERVALUE(Bilan!D19)), IF(AND(Bilan!D19&gt;=Bilan!D21, Bilan!D19&lt;=Bilan!D22), "valide", "invalide"),"")</f>
        <v>valide</v>
      </c>
      <c r="D35" s="226" t="str">
        <f ca="1">IF((_xlfn.NUMBERVALUE(Bilan!E19)), IF(AND(Bilan!E19&gt;=Bilan!E21, Bilan!E19&lt;=Bilan!E22), "valide", "invalide"),"")</f>
        <v>valide</v>
      </c>
      <c r="E35" s="226" t="str">
        <f ca="1">IF((_xlfn.NUMBERVALUE(Bilan!F19)), IF(AND(Bilan!F19&gt;=Bilan!F21, Bilan!F19&lt;=Bilan!F22), "valide", "invalide"),"")</f>
        <v>valide</v>
      </c>
      <c r="F35" s="226" t="str">
        <f ca="1">IF((_xlfn.NUMBERVALUE(Bilan!G19)), IF(AND(Bilan!G19&gt;=Bilan!G21, Bilan!G19&lt;=Bilan!G22), "valide", "invalide"),"")</f>
        <v>valide</v>
      </c>
      <c r="G35" s="226" t="str">
        <f ca="1">IF((_xlfn.NUMBERVALUE(Bilan!H19)), IF(AND(Bilan!H19&gt;=Bilan!H21, Bilan!H19&lt;=Bilan!H22), "valide", "invalide"),"")</f>
        <v>valide</v>
      </c>
      <c r="H35" s="226" t="str">
        <f ca="1">IF((_xlfn.NUMBERVALUE(Bilan!I19)), IF(AND(Bilan!I19&gt;=Bilan!I21, Bilan!I19&lt;=Bilan!I22), "valide", "invalide"),"")</f>
        <v>valide</v>
      </c>
    </row>
    <row r="36" spans="1:8" x14ac:dyDescent="0.15">
      <c r="B36" s="226" t="str">
        <f ca="1">IF((_xlfn.NUMBERVALUE(Bilan!C20)), IF(AND(Bilan!C20&gt;=Bilan!C21, Bilan!C20&lt;=Bilan!C22), "valide", "invalide"),"")</f>
        <v>invalide</v>
      </c>
      <c r="C36" s="226" t="str">
        <f ca="1">IF((_xlfn.NUMBERVALUE(Bilan!D20)), IF(AND(Bilan!D20&gt;=Bilan!D21, Bilan!D20&lt;=Bilan!D22), "valide", "invalide"),"")</f>
        <v>valide</v>
      </c>
      <c r="D36" s="226" t="str">
        <f ca="1">IF((_xlfn.NUMBERVALUE(Bilan!E20)), IF(AND(Bilan!E20&gt;=Bilan!E21, Bilan!E20&lt;=Bilan!E22), "valide", "invalide"),"")</f>
        <v>valide</v>
      </c>
      <c r="E36" s="226" t="str">
        <f ca="1">IF((_xlfn.NUMBERVALUE(Bilan!F20)), IF(AND(Bilan!F20&gt;=Bilan!F21, Bilan!F20&lt;=Bilan!F22), "valide", "invalide"),"")</f>
        <v>valide</v>
      </c>
      <c r="F36" s="226" t="str">
        <f ca="1">IF((_xlfn.NUMBERVALUE(Bilan!G20)), IF(AND(Bilan!G20&gt;=Bilan!G21, Bilan!G20&lt;=Bilan!G22), "valide", "invalide"),"")</f>
        <v>valide</v>
      </c>
      <c r="G36" s="226" t="str">
        <f ca="1">IF((_xlfn.NUMBERVALUE(Bilan!H20)), IF(AND(Bilan!H20&gt;=Bilan!H21, Bilan!H20&lt;=Bilan!H22), "valide", "invalide"),"")</f>
        <v>valide</v>
      </c>
      <c r="H36" s="226" t="str">
        <f ca="1">IF((_xlfn.NUMBERVALUE(Bilan!I20)), IF(AND(Bilan!I20&gt;=Bilan!I21, Bilan!I20&lt;=Bilan!I22), "valide", "invalide"),"")</f>
        <v>valide</v>
      </c>
    </row>
    <row r="37" spans="1:8" x14ac:dyDescent="0.15">
      <c r="B37" s="226" t="str">
        <f ca="1">IF(AND(B35="valide",B36="valide"), "valide","")</f>
        <v/>
      </c>
      <c r="C37" s="226" t="str">
        <f t="shared" ref="C37:H37" ca="1" si="0">IF(AND(C35="valide",C36="valide"), "valide","")</f>
        <v>valide</v>
      </c>
      <c r="D37" s="226" t="str">
        <f t="shared" ca="1" si="0"/>
        <v>valide</v>
      </c>
      <c r="E37" s="226" t="str">
        <f t="shared" ca="1" si="0"/>
        <v>valide</v>
      </c>
      <c r="F37" s="226" t="str">
        <f t="shared" ca="1" si="0"/>
        <v>valide</v>
      </c>
      <c r="G37" s="226" t="str">
        <f t="shared" ca="1" si="0"/>
        <v>valide</v>
      </c>
      <c r="H37" s="226" t="str">
        <f t="shared" ca="1" si="0"/>
        <v>valide</v>
      </c>
    </row>
    <row r="39" spans="1:8" x14ac:dyDescent="0.15">
      <c r="A39" s="173" t="s">
        <v>417</v>
      </c>
      <c r="B39" s="223" t="str">
        <f ca="1">IF(COUNTIF(B37:H37, "valide"), "voir domaine de validité", "non valide")</f>
        <v>voir domaine de validité</v>
      </c>
    </row>
    <row r="40" spans="1:8" ht="15" hidden="1" x14ac:dyDescent="0.2">
      <c r="A40" s="173" t="s">
        <v>401</v>
      </c>
      <c r="B40" s="216" t="str">
        <f ca="1">IF(COUNTIF(B33:H34, "non valide") &gt; 0, "non valide", "valide")</f>
        <v>valide</v>
      </c>
    </row>
    <row r="41" spans="1:8" ht="12.75" x14ac:dyDescent="0.2">
      <c r="A41" s="173" t="s">
        <v>402</v>
      </c>
      <c r="B41" s="219">
        <f ca="1">IF(ISERROR(LOQ!B40),"non estimée",LOQ!B40)</f>
        <v>3.4185727930279071</v>
      </c>
    </row>
    <row r="42" spans="1:8" ht="12.75" x14ac:dyDescent="0.2">
      <c r="A42" s="173"/>
      <c r="B42" s="222"/>
    </row>
    <row r="43" spans="1:8" x14ac:dyDescent="0.15">
      <c r="A43" s="173" t="s">
        <v>416</v>
      </c>
      <c r="B43" s="173" t="s">
        <v>413</v>
      </c>
      <c r="C43" s="217">
        <f ca="1">IF(B39="non valide", "", IF(ISERROR(LOQ!B40), A!B2, IF(LOQ!B40=0, A!B2, LOQ!B40)))</f>
        <v>3.4185727930279071</v>
      </c>
      <c r="D43" s="173" t="s">
        <v>414</v>
      </c>
      <c r="E43" s="217">
        <f ca="1">IF(B39="non valide", "", IF(ISERROR(LOQ!B75), LOQ!B79, IF(LOQ!B75=0, LOQ!B79, LOQ!B75)))</f>
        <v>21.6</v>
      </c>
    </row>
    <row r="44" spans="1:8" x14ac:dyDescent="0.15">
      <c r="A44" s="173"/>
      <c r="B44" s="173"/>
      <c r="C44" s="173"/>
      <c r="D44" s="173"/>
      <c r="E44" s="173"/>
    </row>
    <row r="45" spans="1:8" x14ac:dyDescent="0.15">
      <c r="A45" s="173"/>
      <c r="B45" s="47"/>
    </row>
    <row r="46" spans="1:8" x14ac:dyDescent="0.15">
      <c r="A46" s="173" t="s">
        <v>399</v>
      </c>
      <c r="B46" s="45"/>
    </row>
    <row r="47" spans="1:8" x14ac:dyDescent="0.15">
      <c r="A47" s="173" t="s">
        <v>400</v>
      </c>
      <c r="B47" s="45"/>
    </row>
    <row r="48" spans="1:8" x14ac:dyDescent="0.15">
      <c r="A48" s="173"/>
      <c r="B48" s="47"/>
    </row>
    <row r="49" spans="1:12" x14ac:dyDescent="0.15">
      <c r="A49" s="173" t="s">
        <v>406</v>
      </c>
      <c r="B49" s="202" t="s">
        <v>388</v>
      </c>
      <c r="C49" s="217">
        <f ca="1">'Choix correction biais'!A90</f>
        <v>1.0012771739130433</v>
      </c>
      <c r="D49" s="202" t="s">
        <v>389</v>
      </c>
      <c r="E49" s="217">
        <f ca="1">'Choix correction biais'!B90</f>
        <v>0.40311956521739134</v>
      </c>
    </row>
    <row r="50" spans="1:12" x14ac:dyDescent="0.15">
      <c r="A50" s="173"/>
    </row>
    <row r="51" spans="1:12" x14ac:dyDescent="0.15">
      <c r="A51" s="173" t="s">
        <v>407</v>
      </c>
      <c r="B51" s="202" t="s">
        <v>391</v>
      </c>
      <c r="C51" s="218">
        <f ca="1">Bilan!C32</f>
        <v>0.5227520570412838</v>
      </c>
      <c r="D51" s="202" t="s">
        <v>390</v>
      </c>
      <c r="E51" s="218">
        <f ca="1">Bilan!C31</f>
        <v>-0.54767379609196598</v>
      </c>
    </row>
    <row r="52" spans="1:12" x14ac:dyDescent="0.15">
      <c r="A52" s="173"/>
    </row>
    <row r="53" spans="1:12" x14ac:dyDescent="0.15">
      <c r="A53" s="173"/>
    </row>
    <row r="54" spans="1:12" s="225" customFormat="1" x14ac:dyDescent="0.15">
      <c r="A54" s="173"/>
    </row>
    <row r="55" spans="1:12" s="225" customFormat="1" x14ac:dyDescent="0.15">
      <c r="A55" s="173"/>
    </row>
    <row r="56" spans="1:12" s="225" customFormat="1" x14ac:dyDescent="0.15">
      <c r="A56" s="173"/>
    </row>
    <row r="57" spans="1:12" x14ac:dyDescent="0.15">
      <c r="A57" s="173"/>
    </row>
    <row r="58" spans="1:12" s="81" customFormat="1" x14ac:dyDescent="0.15"/>
    <row r="60" spans="1:12" ht="15" x14ac:dyDescent="0.2">
      <c r="A60" s="60" t="s">
        <v>393</v>
      </c>
    </row>
    <row r="61" spans="1:12" ht="12" x14ac:dyDescent="0.2">
      <c r="A61" s="204"/>
      <c r="B61" s="205"/>
      <c r="C61" s="205"/>
      <c r="D61" s="205"/>
      <c r="E61" s="205"/>
      <c r="F61" s="205"/>
      <c r="G61" s="205"/>
      <c r="H61" s="205"/>
      <c r="I61" s="205"/>
      <c r="J61" s="47"/>
      <c r="K61" s="47"/>
      <c r="L61" s="47"/>
    </row>
    <row r="62" spans="1:12" ht="12.75" thickBot="1" x14ac:dyDescent="0.25">
      <c r="A62" s="206"/>
      <c r="B62" s="47"/>
      <c r="C62" s="47"/>
      <c r="D62" s="47"/>
      <c r="E62" s="47"/>
      <c r="F62" s="47"/>
      <c r="G62" s="47"/>
      <c r="H62" s="47"/>
      <c r="I62" s="47"/>
      <c r="J62" s="47"/>
      <c r="K62" s="47"/>
      <c r="L62" s="47"/>
    </row>
    <row r="63" spans="1:12" ht="12.75" thickBot="1" x14ac:dyDescent="0.25">
      <c r="A63" s="175" t="s">
        <v>368</v>
      </c>
      <c r="B63" s="208" t="s">
        <v>371</v>
      </c>
      <c r="D63" s="207" t="s">
        <v>262</v>
      </c>
      <c r="E63" s="176" t="s">
        <v>369</v>
      </c>
      <c r="K63" s="47"/>
      <c r="L63" s="47"/>
    </row>
    <row r="64" spans="1:12" ht="12.75" thickBot="1" x14ac:dyDescent="0.25">
      <c r="A64" s="175" t="s">
        <v>370</v>
      </c>
      <c r="B64" s="209" t="s">
        <v>371</v>
      </c>
      <c r="D64" s="47"/>
      <c r="E64" s="176"/>
      <c r="K64" s="47"/>
      <c r="L64" s="47"/>
    </row>
    <row r="65" spans="1:12" ht="12.75" thickBot="1" x14ac:dyDescent="0.25">
      <c r="A65" s="175" t="s">
        <v>372</v>
      </c>
      <c r="B65" s="209">
        <v>4</v>
      </c>
      <c r="D65" s="177"/>
      <c r="E65" s="176" t="s">
        <v>373</v>
      </c>
      <c r="K65" s="47"/>
      <c r="L65" s="47"/>
    </row>
    <row r="66" spans="1:12" ht="12" x14ac:dyDescent="0.2">
      <c r="A66" s="175" t="s">
        <v>374</v>
      </c>
      <c r="B66" s="209">
        <v>3</v>
      </c>
      <c r="K66" s="47"/>
      <c r="L66" s="47"/>
    </row>
    <row r="67" spans="1:12" ht="12.75" thickBot="1" x14ac:dyDescent="0.25">
      <c r="A67" s="175" t="s">
        <v>375</v>
      </c>
      <c r="B67" s="210">
        <v>50</v>
      </c>
      <c r="C67">
        <f>$B$60</f>
        <v>0</v>
      </c>
      <c r="K67" s="47"/>
      <c r="L67" s="47"/>
    </row>
    <row r="68" spans="1:12" ht="12.75" thickBot="1" x14ac:dyDescent="0.25">
      <c r="A68" s="178" t="s">
        <v>398</v>
      </c>
      <c r="B68" s="215">
        <f>$B$65*$B$66*$B$67</f>
        <v>600</v>
      </c>
      <c r="C68">
        <f>$B$60</f>
        <v>0</v>
      </c>
      <c r="K68" s="47"/>
      <c r="L68" s="47"/>
    </row>
    <row r="69" spans="1:12" ht="12.75" thickBot="1" x14ac:dyDescent="0.25">
      <c r="A69" s="178" t="s">
        <v>376</v>
      </c>
      <c r="B69" s="211">
        <v>50</v>
      </c>
      <c r="C69" t="s">
        <v>342</v>
      </c>
      <c r="K69" s="47"/>
      <c r="L69" s="47"/>
    </row>
    <row r="70" spans="1:12" ht="77.25" thickBot="1" x14ac:dyDescent="0.25">
      <c r="A70" s="179"/>
      <c r="B70" s="180"/>
      <c r="C70" s="181" t="s">
        <v>377</v>
      </c>
      <c r="D70" s="182" t="s">
        <v>378</v>
      </c>
      <c r="E70" s="182" t="s">
        <v>379</v>
      </c>
      <c r="F70" s="182" t="s">
        <v>380</v>
      </c>
      <c r="G70" s="182" t="s">
        <v>381</v>
      </c>
      <c r="H70" s="182" t="s">
        <v>382</v>
      </c>
      <c r="I70" s="182" t="s">
        <v>383</v>
      </c>
      <c r="J70" s="183" t="s">
        <v>384</v>
      </c>
      <c r="K70" s="184" t="s">
        <v>385</v>
      </c>
      <c r="L70" s="47"/>
    </row>
    <row r="71" spans="1:12" ht="12.75" thickBot="1" x14ac:dyDescent="0.25">
      <c r="A71" s="185" t="s">
        <v>394</v>
      </c>
      <c r="B71" s="186" t="str">
        <f>$B$63</f>
        <v>pg/ml</v>
      </c>
      <c r="C71" s="212">
        <v>50</v>
      </c>
      <c r="D71" s="212">
        <v>50</v>
      </c>
      <c r="E71" s="212">
        <v>50</v>
      </c>
      <c r="F71" s="212">
        <v>50</v>
      </c>
      <c r="G71" s="212">
        <v>0</v>
      </c>
      <c r="H71" s="212">
        <v>0</v>
      </c>
      <c r="I71" s="212">
        <v>0</v>
      </c>
      <c r="J71" s="212">
        <v>0</v>
      </c>
      <c r="K71" s="47" t="s">
        <v>262</v>
      </c>
      <c r="L71" s="47"/>
    </row>
    <row r="72" spans="1:12" ht="12" x14ac:dyDescent="0.2">
      <c r="A72" s="187" t="s">
        <v>386</v>
      </c>
      <c r="B72" s="186" t="str">
        <f>$B$63</f>
        <v>pg/ml</v>
      </c>
      <c r="C72" s="188">
        <f>C71*($B$69/100)</f>
        <v>25</v>
      </c>
      <c r="D72" s="188">
        <f t="shared" ref="D72:J72" si="1">D71*($B$69/100)</f>
        <v>25</v>
      </c>
      <c r="E72" s="188">
        <f t="shared" si="1"/>
        <v>25</v>
      </c>
      <c r="F72" s="188">
        <f t="shared" si="1"/>
        <v>25</v>
      </c>
      <c r="G72" s="188">
        <f t="shared" si="1"/>
        <v>0</v>
      </c>
      <c r="H72" s="188">
        <f t="shared" si="1"/>
        <v>0</v>
      </c>
      <c r="I72" s="188">
        <f t="shared" si="1"/>
        <v>0</v>
      </c>
      <c r="J72" s="188">
        <f t="shared" si="1"/>
        <v>0</v>
      </c>
      <c r="K72" s="189">
        <f>SUM(C72:J72)</f>
        <v>100</v>
      </c>
      <c r="L72" t="str">
        <f>$B$63</f>
        <v>pg/ml</v>
      </c>
    </row>
    <row r="73" spans="1:12" ht="12" x14ac:dyDescent="0.2">
      <c r="A73" s="187" t="s">
        <v>395</v>
      </c>
      <c r="B73" s="186" t="str">
        <f>$B$63</f>
        <v>pg/ml</v>
      </c>
      <c r="C73" s="190">
        <f t="shared" ref="C73:J73" si="2">C71-C72</f>
        <v>25</v>
      </c>
      <c r="D73" s="190">
        <f t="shared" si="2"/>
        <v>25</v>
      </c>
      <c r="E73" s="190">
        <f t="shared" si="2"/>
        <v>25</v>
      </c>
      <c r="F73" s="190">
        <f t="shared" si="2"/>
        <v>25</v>
      </c>
      <c r="G73" s="190">
        <f t="shared" si="2"/>
        <v>0</v>
      </c>
      <c r="H73" s="190">
        <f t="shared" si="2"/>
        <v>0</v>
      </c>
      <c r="I73" s="190">
        <f t="shared" si="2"/>
        <v>0</v>
      </c>
      <c r="J73" s="190">
        <f t="shared" si="2"/>
        <v>0</v>
      </c>
      <c r="K73" s="47"/>
      <c r="L73" s="47"/>
    </row>
    <row r="74" spans="1:12" ht="12.75" thickBot="1" x14ac:dyDescent="0.25">
      <c r="A74" s="187" t="s">
        <v>396</v>
      </c>
      <c r="B74" s="186" t="str">
        <f>$B$64</f>
        <v>pg/ml</v>
      </c>
      <c r="C74" s="191">
        <f t="shared" ref="C74:J74" si="3">(C76*(C72+C73)/C73)</f>
        <v>0</v>
      </c>
      <c r="D74" s="192">
        <f t="shared" si="3"/>
        <v>20</v>
      </c>
      <c r="E74" s="192">
        <f t="shared" si="3"/>
        <v>50</v>
      </c>
      <c r="F74" s="192">
        <f t="shared" si="3"/>
        <v>100</v>
      </c>
      <c r="G74" s="192" t="e">
        <f t="shared" si="3"/>
        <v>#DIV/0!</v>
      </c>
      <c r="H74" s="192" t="e">
        <f t="shared" si="3"/>
        <v>#DIV/0!</v>
      </c>
      <c r="I74" s="192" t="e">
        <f t="shared" si="3"/>
        <v>#DIV/0!</v>
      </c>
      <c r="J74" s="193" t="e">
        <f t="shared" si="3"/>
        <v>#DIV/0!</v>
      </c>
      <c r="K74" s="47"/>
      <c r="L74" s="47"/>
    </row>
    <row r="75" spans="1:12" ht="12" thickBot="1" x14ac:dyDescent="0.2">
      <c r="A75" s="194"/>
      <c r="B75" s="186"/>
      <c r="C75" s="195"/>
      <c r="D75" s="196"/>
      <c r="E75" s="196"/>
      <c r="F75" s="196"/>
      <c r="G75" s="196"/>
      <c r="H75" s="196"/>
      <c r="I75" s="196"/>
      <c r="J75" s="197"/>
      <c r="K75" s="47"/>
      <c r="L75" s="47"/>
    </row>
    <row r="76" spans="1:12" ht="13.5" thickBot="1" x14ac:dyDescent="0.25">
      <c r="A76" s="198" t="s">
        <v>397</v>
      </c>
      <c r="B76" s="199" t="str">
        <f>$B$64</f>
        <v>pg/ml</v>
      </c>
      <c r="C76" s="200">
        <v>0</v>
      </c>
      <c r="D76" s="212">
        <v>10</v>
      </c>
      <c r="E76" s="213">
        <v>25</v>
      </c>
      <c r="F76" s="213">
        <v>50</v>
      </c>
      <c r="G76" s="213"/>
      <c r="H76" s="213"/>
      <c r="I76" s="213"/>
      <c r="J76" s="214"/>
      <c r="K76" s="47"/>
      <c r="L76" s="47"/>
    </row>
  </sheetData>
  <sheetProtection algorithmName="SHA-512" hashValue="99YtNiQ5o7HSj6duJCw2aFu3keQiHoK65Gj1vyokmR0p3BYej0Uh7kUeAQPZTdQiSK/K4KGjBlDECuWsD7PDpw==" saltValue="ILX0UWHKDOhG0LlXSUxaWQ==" spinCount="100000" sheet="1" objects="1" scenarios="1"/>
  <conditionalFormatting sqref="B40:B42 B45 B48">
    <cfRule type="expression" dxfId="2" priority="4">
      <formula>$B$40="non valide"</formula>
    </cfRule>
    <cfRule type="expression" dxfId="1" priority="5">
      <formula>$B$40="valide"</formula>
    </cfRule>
    <cfRule type="expression" dxfId="0" priority="6">
      <formula>B40="non valide"</formula>
    </cfRule>
  </conditionalFormatting>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tabColor theme="9"/>
  </sheetPr>
  <dimension ref="A1:T87"/>
  <sheetViews>
    <sheetView zoomScale="90" zoomScaleNormal="90" workbookViewId="0">
      <selection activeCell="G22" sqref="G22"/>
    </sheetView>
  </sheetViews>
  <sheetFormatPr baseColWidth="10" defaultRowHeight="11.25" x14ac:dyDescent="0.15"/>
  <cols>
    <col min="1" max="1" width="28.375" customWidth="1"/>
    <col min="20" max="20" width="0.25" customWidth="1"/>
  </cols>
  <sheetData>
    <row r="1" spans="1:20" s="2" customFormat="1" x14ac:dyDescent="0.15">
      <c r="A1" s="2" t="s">
        <v>183</v>
      </c>
    </row>
    <row r="3" spans="1:20" s="2" customFormat="1" x14ac:dyDescent="0.15">
      <c r="A3" s="32" t="str">
        <f ca="1">Bilan!B5</f>
        <v>Niveau</v>
      </c>
      <c r="B3" s="32" t="str">
        <f>Bilan!C5</f>
        <v>A</v>
      </c>
      <c r="C3" s="32" t="str">
        <f>Bilan!D5</f>
        <v>B</v>
      </c>
      <c r="D3" s="32" t="str">
        <f>Bilan!E5</f>
        <v>C</v>
      </c>
      <c r="E3" s="32" t="str">
        <f>Bilan!F5</f>
        <v>D</v>
      </c>
      <c r="F3" s="32" t="str">
        <f>Bilan!G5</f>
        <v>E</v>
      </c>
      <c r="G3" s="32" t="str">
        <f>Bilan!H5</f>
        <v>F</v>
      </c>
      <c r="H3" s="32" t="str">
        <f>Bilan!I5</f>
        <v>G</v>
      </c>
      <c r="T3" s="2">
        <f>'Mode d''emploi'!T1</f>
        <v>1</v>
      </c>
    </row>
    <row r="4" spans="1:20" x14ac:dyDescent="0.15">
      <c r="A4" s="10" t="str">
        <f ca="1">Bilan!B6</f>
        <v>Valeur de référence</v>
      </c>
      <c r="B4" s="15">
        <f ca="1">Bilan!C6</f>
        <v>1.6</v>
      </c>
      <c r="C4" s="15">
        <f ca="1">Bilan!D6</f>
        <v>3.6</v>
      </c>
      <c r="D4" s="15">
        <f ca="1">Bilan!E6</f>
        <v>5.6</v>
      </c>
      <c r="E4" s="15">
        <f ca="1">Bilan!F6</f>
        <v>7.6</v>
      </c>
      <c r="F4" s="15">
        <f ca="1">Bilan!G6</f>
        <v>9.6</v>
      </c>
      <c r="G4" s="15">
        <f ca="1">Bilan!H6</f>
        <v>11.6</v>
      </c>
      <c r="H4" s="15">
        <f ca="1">Bilan!I6</f>
        <v>21.6</v>
      </c>
    </row>
    <row r="5" spans="1:20" x14ac:dyDescent="0.15">
      <c r="A5" s="10" t="str">
        <f ca="1">Bilan!B13</f>
        <v>Valeur basse intervalle tolérance</v>
      </c>
      <c r="B5" s="15">
        <f ca="1">Bilan!C13</f>
        <v>1.3199644706033213</v>
      </c>
      <c r="C5" s="15">
        <f ca="1">Bilan!D13</f>
        <v>3.3298616511804311</v>
      </c>
      <c r="D5" s="15">
        <f ca="1">Bilan!E13</f>
        <v>5.059456078288485</v>
      </c>
      <c r="E5" s="15">
        <f ca="1">Bilan!F13</f>
        <v>7.0669412227346671</v>
      </c>
      <c r="F5" s="15">
        <f ca="1">Bilan!G13</f>
        <v>8.7247698908611433</v>
      </c>
      <c r="G5" s="15">
        <f ca="1">Bilan!H13</f>
        <v>10.598033000725337</v>
      </c>
      <c r="H5" s="15">
        <f ca="1">Bilan!I13</f>
        <v>20.023799744664672</v>
      </c>
    </row>
    <row r="6" spans="1:20" x14ac:dyDescent="0.15">
      <c r="A6" s="10" t="str">
        <f ca="1">Bilan!B14</f>
        <v>Valeur haute intervalle tolérance</v>
      </c>
      <c r="B6" s="15">
        <f ca="1">Bilan!C14</f>
        <v>2.6800355293966782</v>
      </c>
      <c r="C6" s="15">
        <f ca="1">Bilan!D14</f>
        <v>4.6201383488195686</v>
      </c>
      <c r="D6" s="15">
        <f ca="1">Bilan!E14</f>
        <v>6.7905439217115147</v>
      </c>
      <c r="E6" s="15">
        <f ca="1">Bilan!F14</f>
        <v>9.3830587772653367</v>
      </c>
      <c r="F6" s="15">
        <f ca="1">Bilan!G14</f>
        <v>11.225230109138856</v>
      </c>
      <c r="G6" s="15">
        <f ca="1">Bilan!H14</f>
        <v>13.351966999274659</v>
      </c>
      <c r="H6" s="15">
        <f ca="1">Bilan!I14</f>
        <v>24.026200255335326</v>
      </c>
    </row>
    <row r="7" spans="1:20" x14ac:dyDescent="0.15">
      <c r="A7" s="33" t="str">
        <f ca="1">Bilan!B21</f>
        <v xml:space="preserve">Limite d'acceptabilité basse </v>
      </c>
      <c r="B7" s="15">
        <f ca="1">IF(B$4&lt;&gt;"",Bilan!C21*B$4,"")</f>
        <v>1.1199999999999999</v>
      </c>
      <c r="C7" s="15">
        <f ca="1">IF(C$4&lt;&gt;"",Bilan!D21*C$4,"")</f>
        <v>2.52</v>
      </c>
      <c r="D7" s="15">
        <f ca="1">IF(D$4&lt;&gt;"",Bilan!E21*D$4,"")</f>
        <v>3.9199999999999995</v>
      </c>
      <c r="E7" s="15">
        <f ca="1">IF(E$4&lt;&gt;"",Bilan!F21*E$4,"")</f>
        <v>5.3199999999999994</v>
      </c>
      <c r="F7" s="15">
        <f ca="1">IF(F$4&lt;&gt;"",Bilan!G21*F$4,"")</f>
        <v>6.72</v>
      </c>
      <c r="G7" s="15">
        <f ca="1">IF(G$4&lt;&gt;"",Bilan!H21*G$4,"")</f>
        <v>8.1199999999999992</v>
      </c>
      <c r="H7" s="15">
        <f ca="1">IF(H$4&lt;&gt;"",Bilan!I21*H$4,"")</f>
        <v>15.12</v>
      </c>
    </row>
    <row r="8" spans="1:20" x14ac:dyDescent="0.15">
      <c r="A8" s="33" t="str">
        <f ca="1">Bilan!B22</f>
        <v>Limite d'acceptabilité haute</v>
      </c>
      <c r="B8" s="15">
        <f ca="1">IF(B$4&lt;&gt;"",Bilan!C22*B$4,"")</f>
        <v>2.08</v>
      </c>
      <c r="C8" s="15">
        <f ca="1">IF(C$4&lt;&gt;"",Bilan!D22*C$4,"")</f>
        <v>4.6800000000000006</v>
      </c>
      <c r="D8" s="15">
        <f ca="1">IF(D$4&lt;&gt;"",Bilan!E22*D$4,"")</f>
        <v>7.2799999999999994</v>
      </c>
      <c r="E8" s="15">
        <f ca="1">IF(E$4&lt;&gt;"",Bilan!F22*E$4,"")</f>
        <v>9.879999999999999</v>
      </c>
      <c r="F8" s="15">
        <f ca="1">IF(F$4&lt;&gt;"",Bilan!G22*F$4,"")</f>
        <v>12.48</v>
      </c>
      <c r="G8" s="15">
        <f ca="1">IF(G$4&lt;&gt;"",Bilan!H22*G$4,"")</f>
        <v>15.08</v>
      </c>
      <c r="H8" s="15">
        <f ca="1">IF(H$4&lt;&gt;"",Bilan!I22*H$4,"")</f>
        <v>28.080000000000002</v>
      </c>
    </row>
    <row r="9" spans="1:20" x14ac:dyDescent="0.15">
      <c r="A9" s="25"/>
      <c r="B9" s="3"/>
      <c r="C9" s="3"/>
      <c r="D9" s="3"/>
      <c r="E9" s="3"/>
      <c r="F9" s="3"/>
      <c r="G9" s="3"/>
      <c r="H9" s="3"/>
    </row>
    <row r="10" spans="1:20" s="2" customFormat="1" x14ac:dyDescent="0.15">
      <c r="A10" s="2" t="str">
        <f ca="1">INDIRECT(ADDRESS(ROW(A10)+101,$T$3,1,,"Texte"))</f>
        <v>LOQ - Intersection basse</v>
      </c>
    </row>
    <row r="11" spans="1:20" x14ac:dyDescent="0.15">
      <c r="A11" s="35" t="s">
        <v>175</v>
      </c>
      <c r="B11" s="36">
        <f ca="1">IF(C$4&lt;&gt;"",(C5-B5)/(C$4-B$4),"")</f>
        <v>1.0049485902885549</v>
      </c>
      <c r="C11" s="36">
        <f t="shared" ref="C11:H11" ca="1" si="0">IF(D$4&lt;&gt;"",(D5-C5)/(D$4-C$4),"")</f>
        <v>0.86479721355402717</v>
      </c>
      <c r="D11" s="36">
        <f t="shared" ca="1" si="0"/>
        <v>1.003742572223091</v>
      </c>
      <c r="E11" s="36">
        <f t="shared" ca="1" si="0"/>
        <v>0.82891433406323811</v>
      </c>
      <c r="F11" s="36">
        <f t="shared" ca="1" si="0"/>
        <v>0.93663155493209693</v>
      </c>
      <c r="G11" s="36">
        <f t="shared" ca="1" si="0"/>
        <v>0.94257667439393322</v>
      </c>
      <c r="H11" s="36" t="str">
        <f t="shared" si="0"/>
        <v/>
      </c>
    </row>
    <row r="12" spans="1:20" x14ac:dyDescent="0.15">
      <c r="A12" s="35" t="s">
        <v>176</v>
      </c>
      <c r="B12" s="36">
        <f ca="1">IF(C$4&lt;&gt;"",(C7-B7)/(C$4-B$4),"")</f>
        <v>0.70000000000000007</v>
      </c>
      <c r="C12" s="36">
        <f t="shared" ref="C12:H12" ca="1" si="1">IF(D$4&lt;&gt;"",(D7-C7)/(D$4-C$4),"")</f>
        <v>0.69999999999999984</v>
      </c>
      <c r="D12" s="36">
        <f t="shared" ca="1" si="1"/>
        <v>0.7</v>
      </c>
      <c r="E12" s="36">
        <f t="shared" ca="1" si="1"/>
        <v>0.70000000000000018</v>
      </c>
      <c r="F12" s="36">
        <f t="shared" ca="1" si="1"/>
        <v>0.69999999999999973</v>
      </c>
      <c r="G12" s="36">
        <f t="shared" ca="1" si="1"/>
        <v>0.69999999999999984</v>
      </c>
      <c r="H12" s="36" t="str">
        <f t="shared" si="1"/>
        <v/>
      </c>
    </row>
    <row r="13" spans="1:20" x14ac:dyDescent="0.15">
      <c r="A13" s="35" t="s">
        <v>177</v>
      </c>
      <c r="B13" s="36">
        <f ca="1">IF(C$4&lt;&gt;"",B5-B11*B$4,"")</f>
        <v>-0.28795327385836655</v>
      </c>
      <c r="C13" s="36">
        <f t="shared" ref="C13:H13" ca="1" si="2">IF(D$4&lt;&gt;"",C5-C11*C$4,"")</f>
        <v>0.21659168238593329</v>
      </c>
      <c r="D13" s="36">
        <f t="shared" ca="1" si="2"/>
        <v>-0.56150232616082452</v>
      </c>
      <c r="E13" s="36">
        <f t="shared" ca="1" si="2"/>
        <v>0.76719228385405813</v>
      </c>
      <c r="F13" s="36">
        <f t="shared" ca="1" si="2"/>
        <v>-0.26689303648698726</v>
      </c>
      <c r="G13" s="36">
        <f t="shared" ca="1" si="2"/>
        <v>-0.33585642224428724</v>
      </c>
      <c r="H13" s="36" t="str">
        <f t="shared" si="2"/>
        <v/>
      </c>
    </row>
    <row r="14" spans="1:20" x14ac:dyDescent="0.15">
      <c r="A14" s="35" t="s">
        <v>178</v>
      </c>
      <c r="B14" s="36">
        <f ca="1">IF(C$4&lt;&gt;"",B7-B12*B$4,"")</f>
        <v>-2.2204460492503131E-16</v>
      </c>
      <c r="C14" s="36">
        <f t="shared" ref="C14:H14" ca="1" si="3">IF(D$4&lt;&gt;"",C7-C12*C$4,"")</f>
        <v>4.4408920985006262E-16</v>
      </c>
      <c r="D14" s="36">
        <f t="shared" ca="1" si="3"/>
        <v>0</v>
      </c>
      <c r="E14" s="36">
        <f t="shared" ca="1" si="3"/>
        <v>-1.7763568394002505E-15</v>
      </c>
      <c r="F14" s="36">
        <f t="shared" ca="1" si="3"/>
        <v>2.6645352591003757E-15</v>
      </c>
      <c r="G14" s="36">
        <f t="shared" ca="1" si="3"/>
        <v>1.7763568394002505E-15</v>
      </c>
      <c r="H14" s="36" t="str">
        <f t="shared" si="3"/>
        <v/>
      </c>
    </row>
    <row r="15" spans="1:20" s="2" customFormat="1" x14ac:dyDescent="0.15">
      <c r="A15" s="2" t="str">
        <f ca="1">INDIRECT(ADDRESS(ROW(A15)+99,$T$3,1,,"Texte"))</f>
        <v>Valeurs possibles de LOQ</v>
      </c>
      <c r="B15" s="34">
        <f t="shared" ref="B15:C15" ca="1" si="4">IF(C4&lt;&gt;"",(B14-B13)/(B11-B12),"ND")</f>
        <v>0.94426825710488838</v>
      </c>
      <c r="C15" s="34">
        <f t="shared" ca="1" si="4"/>
        <v>-1.3142921395022567</v>
      </c>
      <c r="D15" s="34">
        <f ca="1">IF(E4&lt;&gt;"",(D14-D13)/(D11-D12),"ND")</f>
        <v>1.8486125341310915</v>
      </c>
      <c r="E15" s="34">
        <f t="shared" ref="E15" ca="1" si="5">IF(F4&lt;&gt;"",(E14-E13)/(E11-E12),"ND")</f>
        <v>-5.9511790479227828</v>
      </c>
      <c r="F15" s="34">
        <f t="shared" ref="F15:G15" ca="1" si="6">IF(G4&lt;&gt;"",(F14-F13)/(F11-F12),"ND")</f>
        <v>1.1278843878770792</v>
      </c>
      <c r="G15" s="34">
        <f t="shared" ca="1" si="6"/>
        <v>1.3845371698800422</v>
      </c>
      <c r="H15" s="221" t="str">
        <f t="shared" ref="H15" si="7">IF(I4&lt;&gt;"",(H14-H13)/(H11-H12),"ND")</f>
        <v>ND</v>
      </c>
    </row>
    <row r="17" spans="1:9" s="2" customFormat="1" x14ac:dyDescent="0.15">
      <c r="A17" s="2" t="str">
        <f ca="1">INDIRECT(ADDRESS(ROW(A17)+96,$T$3,1,,"Texte"))</f>
        <v>LOQ - Intersection haute</v>
      </c>
    </row>
    <row r="18" spans="1:9" x14ac:dyDescent="0.15">
      <c r="A18" s="35" t="str">
        <f>A11</f>
        <v>t1</v>
      </c>
      <c r="B18" s="36">
        <f ca="1">IF(C4&lt;&gt;"",(C6-B6)/(C$4-B$4),"")</f>
        <v>0.97005140971144521</v>
      </c>
      <c r="C18" s="36">
        <f t="shared" ref="C18:H18" ca="1" si="8">IF(D4&lt;&gt;"",(D6-C6)/(D$4-C$4),"")</f>
        <v>1.0852027864459732</v>
      </c>
      <c r="D18" s="36">
        <f t="shared" ca="1" si="8"/>
        <v>1.296257427776911</v>
      </c>
      <c r="E18" s="36">
        <f t="shared" ca="1" si="8"/>
        <v>0.92108566593675967</v>
      </c>
      <c r="F18" s="36">
        <f t="shared" ca="1" si="8"/>
        <v>1.0633684450679013</v>
      </c>
      <c r="G18" s="36">
        <f t="shared" ca="1" si="8"/>
        <v>1.0674233256060666</v>
      </c>
      <c r="H18" s="36" t="str">
        <f t="shared" si="8"/>
        <v/>
      </c>
    </row>
    <row r="19" spans="1:9" x14ac:dyDescent="0.15">
      <c r="A19" s="35" t="str">
        <f t="shared" ref="A19:A21" si="9">A12</f>
        <v>a1</v>
      </c>
      <c r="B19" s="36">
        <f ca="1">IF(C4&lt;&gt;"",(C8-B8)/(C$4-B$4),"")</f>
        <v>1.3000000000000003</v>
      </c>
      <c r="C19" s="36">
        <f t="shared" ref="C19:H19" ca="1" si="10">IF(D4&lt;&gt;"",(D8-C8)/(D$4-C$4),"")</f>
        <v>1.2999999999999996</v>
      </c>
      <c r="D19" s="36">
        <f t="shared" ca="1" si="10"/>
        <v>1.2999999999999998</v>
      </c>
      <c r="E19" s="36">
        <f t="shared" ca="1" si="10"/>
        <v>1.3000000000000007</v>
      </c>
      <c r="F19" s="36">
        <f t="shared" ca="1" si="10"/>
        <v>1.2999999999999998</v>
      </c>
      <c r="G19" s="36">
        <f t="shared" ca="1" si="10"/>
        <v>1.3</v>
      </c>
      <c r="H19" s="36" t="str">
        <f t="shared" si="10"/>
        <v/>
      </c>
    </row>
    <row r="20" spans="1:9" x14ac:dyDescent="0.15">
      <c r="A20" s="35" t="str">
        <f t="shared" si="9"/>
        <v>t0</v>
      </c>
      <c r="B20" s="36">
        <f ca="1">IF(C4&lt;&gt;"",B6-B18*B$4,"")</f>
        <v>1.1279532738583657</v>
      </c>
      <c r="C20" s="36">
        <f t="shared" ref="C20:H20" ca="1" si="11">IF(D4&lt;&gt;"",C6-C18*C$4,"")</f>
        <v>0.71340831761406509</v>
      </c>
      <c r="D20" s="36">
        <f t="shared" ca="1" si="11"/>
        <v>-0.46849767383918639</v>
      </c>
      <c r="E20" s="36">
        <f t="shared" ca="1" si="11"/>
        <v>2.3828077161459635</v>
      </c>
      <c r="F20" s="36">
        <f t="shared" ca="1" si="11"/>
        <v>1.0168930364870032</v>
      </c>
      <c r="G20" s="36">
        <f t="shared" ca="1" si="11"/>
        <v>0.96985642224428759</v>
      </c>
      <c r="H20" s="36" t="str">
        <f t="shared" si="11"/>
        <v/>
      </c>
    </row>
    <row r="21" spans="1:9" x14ac:dyDescent="0.15">
      <c r="A21" s="35" t="str">
        <f t="shared" si="9"/>
        <v>a0</v>
      </c>
      <c r="B21" s="36">
        <f ca="1">IF(C4&lt;&gt;"",B8-B19*B$4,"")</f>
        <v>-4.4408920985006262E-16</v>
      </c>
      <c r="C21" s="36">
        <f t="shared" ref="C21:H21" ca="1" si="12">IF(D4&lt;&gt;"",C8-C19*C$4,"")</f>
        <v>1.7763568394002505E-15</v>
      </c>
      <c r="D21" s="36">
        <f t="shared" ca="1" si="12"/>
        <v>8.8817841970012523E-16</v>
      </c>
      <c r="E21" s="36">
        <f t="shared" ca="1" si="12"/>
        <v>-5.3290705182007514E-15</v>
      </c>
      <c r="F21" s="36">
        <f t="shared" ca="1" si="12"/>
        <v>1.7763568394002505E-15</v>
      </c>
      <c r="G21" s="36">
        <f t="shared" ca="1" si="12"/>
        <v>0</v>
      </c>
      <c r="H21" s="36" t="str">
        <f t="shared" si="12"/>
        <v/>
      </c>
    </row>
    <row r="22" spans="1:9" s="2" customFormat="1" x14ac:dyDescent="0.15">
      <c r="A22" s="2" t="str">
        <f ca="1">INDIRECT(ADDRESS(ROW(A22)+92,$T$3,1,,"Texte"))</f>
        <v>Valeurs possibles de LOQ</v>
      </c>
      <c r="B22" s="34">
        <f ca="1">IF(C4&lt;&gt;"",(B21-B20)/(B18-B19),"ND")</f>
        <v>3.4185727930279071</v>
      </c>
      <c r="C22" s="34">
        <f t="shared" ref="C22:H22" ca="1" si="13">IF(D4&lt;&gt;"",(C21-C20)/(C18-C19),"ND")</f>
        <v>3.3213108578553556</v>
      </c>
      <c r="D22" s="34">
        <f t="shared" ca="1" si="13"/>
        <v>-125.18066343487318</v>
      </c>
      <c r="E22" s="34">
        <f t="shared" ca="1" si="13"/>
        <v>6.2885130013273045</v>
      </c>
      <c r="F22" s="34">
        <f t="shared" ca="1" si="13"/>
        <v>4.2973686953069263</v>
      </c>
      <c r="G22" s="34">
        <f t="shared" ca="1" si="13"/>
        <v>4.1700502630868526</v>
      </c>
      <c r="H22" s="221" t="str">
        <f t="shared" si="13"/>
        <v>ND</v>
      </c>
    </row>
    <row r="24" spans="1:9" x14ac:dyDescent="0.15">
      <c r="A24" t="str">
        <f ca="1">INDIRECT(ADDRESS(ROW(A24)+98,$T$3,1,,"Texte"))</f>
        <v>Sélectionner la valeur la plus plausible de LOQ</v>
      </c>
    </row>
    <row r="25" spans="1:9" x14ac:dyDescent="0.15">
      <c r="A25" s="226"/>
      <c r="B25" s="226" t="str">
        <f ca="1">IF((_xlfn.NUMBERVALUE(Bilan!C19)), IF(AND(Bilan!C19&gt;=Bilan!C21), "non valide", "valide"),"")</f>
        <v>non valide</v>
      </c>
      <c r="C25" s="226" t="str">
        <f ca="1">IF((_xlfn.NUMBERVALUE(Bilan!D19)), IF(AND(Bilan!D19&gt;=Bilan!D21), "non valide", "valide"),"")</f>
        <v>non valide</v>
      </c>
      <c r="D25" s="226" t="str">
        <f ca="1">IF((_xlfn.NUMBERVALUE(Bilan!E19)), IF(AND(Bilan!E19&gt;=Bilan!E21), "non valide", "valide"),"")</f>
        <v>non valide</v>
      </c>
      <c r="E25" s="226" t="str">
        <f ca="1">IF((_xlfn.NUMBERVALUE(Bilan!F19)), IF(AND(Bilan!F19&gt;=Bilan!F21), "non valide", "valide"),"")</f>
        <v>non valide</v>
      </c>
      <c r="F25" s="226" t="str">
        <f ca="1">IF((_xlfn.NUMBERVALUE(Bilan!G19)), IF(AND(Bilan!G19&gt;=Bilan!G21), "non valide", "valide"),"")</f>
        <v>non valide</v>
      </c>
      <c r="G25" s="226" t="str">
        <f ca="1">IF((_xlfn.NUMBERVALUE(Bilan!H19)), IF(AND(Bilan!H19&gt;=Bilan!H21), "non valide", "valide"),"")</f>
        <v>non valide</v>
      </c>
      <c r="H25" s="226" t="str">
        <f ca="1">IF((_xlfn.NUMBERVALUE(Bilan!I19)), IF(AND(Bilan!I19&gt;=Bilan!I21), "non valide", "valide"),"")</f>
        <v>non valide</v>
      </c>
      <c r="I25" s="226"/>
    </row>
    <row r="26" spans="1:9" x14ac:dyDescent="0.15">
      <c r="A26" s="226"/>
      <c r="B26" s="226" t="str">
        <f ca="1">IF((_xlfn.NUMBERVALUE(Bilan!C20)), IF(AND(Bilan!C20&lt;=Bilan!C22), "non valide", "valide"),"")</f>
        <v>valide</v>
      </c>
      <c r="C26" s="226" t="str">
        <f ca="1">IF((_xlfn.NUMBERVALUE(Bilan!D20)), IF(AND(Bilan!D20&lt;=Bilan!D22), "non valide", "valide"),"")</f>
        <v>non valide</v>
      </c>
      <c r="D26" s="226" t="str">
        <f ca="1">IF((_xlfn.NUMBERVALUE(Bilan!E20)), IF(AND(Bilan!E20&lt;=Bilan!E22), "non valide", "valide"),"")</f>
        <v>non valide</v>
      </c>
      <c r="E26" s="226" t="str">
        <f ca="1">IF((_xlfn.NUMBERVALUE(Bilan!F20)), IF(AND(Bilan!F20&lt;=Bilan!F22), "non valide", "valide"),"")</f>
        <v>non valide</v>
      </c>
      <c r="F26" s="226" t="str">
        <f ca="1">IF((_xlfn.NUMBERVALUE(Bilan!G20)), IF(AND(Bilan!G20&lt;=Bilan!G22), "non valide", "valide"),"")</f>
        <v>non valide</v>
      </c>
      <c r="G26" s="226" t="str">
        <f ca="1">IF((_xlfn.NUMBERVALUE(Bilan!H20)), IF(AND(Bilan!H20&lt;=Bilan!H22), "non valide", "valide"),"")</f>
        <v>non valide</v>
      </c>
      <c r="H26" s="226" t="str">
        <f ca="1">IF((_xlfn.NUMBERVALUE(Bilan!I20)), IF(AND(Bilan!I20&lt;=Bilan!I22), "non valide", "valide"),"")</f>
        <v>non valide</v>
      </c>
      <c r="I26" s="226"/>
    </row>
    <row r="27" spans="1:9" x14ac:dyDescent="0.15">
      <c r="A27" s="226"/>
      <c r="B27" s="226" t="str">
        <f ca="1">IF((_xlfn.NUMBERVALUE(Bilan!C19)), IF(AND(Bilan!C19&gt;=Bilan!C21), "non valide", "valide"),"")</f>
        <v>non valide</v>
      </c>
      <c r="C27" s="226" t="str">
        <f ca="1">IF((_xlfn.NUMBERVALUE(Bilan!D19)), IF(AND(Bilan!D19&gt;=Bilan!D21), "non valide", "valide"),"")</f>
        <v>non valide</v>
      </c>
      <c r="D27" s="226" t="str">
        <f ca="1">IF((_xlfn.NUMBERVALUE(Bilan!E19)), IF(AND(Bilan!E19&gt;=Bilan!E21), "non valide", "valide"),"")</f>
        <v>non valide</v>
      </c>
      <c r="E27" s="226" t="str">
        <f ca="1">IF((_xlfn.NUMBERVALUE(Bilan!F19)), IF(AND(Bilan!F19&gt;=Bilan!F21), "non valide", "valide"),"")</f>
        <v>non valide</v>
      </c>
      <c r="F27" s="226" t="str">
        <f ca="1">IF((_xlfn.NUMBERVALUE(Bilan!G19)), IF(AND(Bilan!G19&gt;=Bilan!G21), "non valide", "valide"),"")</f>
        <v>non valide</v>
      </c>
      <c r="G27" s="226" t="str">
        <f ca="1">IF((_xlfn.NUMBERVALUE(Bilan!H19)), IF(AND(Bilan!H19&gt;=Bilan!H21), "non valide", "valide"),"")</f>
        <v>non valide</v>
      </c>
      <c r="H27" s="226"/>
      <c r="I27" s="226"/>
    </row>
    <row r="28" spans="1:9" x14ac:dyDescent="0.15">
      <c r="A28" s="226"/>
      <c r="B28" s="226" t="str">
        <f ca="1">IF((_xlfn.NUMBERVALUE(Bilan!C20)), IF(AND(Bilan!C20&lt;=Bilan!C22), "non valide", "valide"),"")</f>
        <v>valide</v>
      </c>
      <c r="C28" s="226" t="str">
        <f ca="1">IF((_xlfn.NUMBERVALUE(Bilan!D20)), IF(AND(Bilan!D20&lt;=Bilan!D22), "non valide", "valide"),"")</f>
        <v>non valide</v>
      </c>
      <c r="D28" s="226" t="str">
        <f ca="1">IF((_xlfn.NUMBERVALUE(Bilan!E20)), IF(AND(Bilan!E20&lt;=Bilan!E22), "non valide", "valide"),"")</f>
        <v>non valide</v>
      </c>
      <c r="E28" s="226" t="str">
        <f ca="1">IF((_xlfn.NUMBERVALUE(Bilan!F20)), IF(AND(Bilan!F20&lt;=Bilan!F22), "non valide", "valide"),"")</f>
        <v>non valide</v>
      </c>
      <c r="F28" s="226" t="str">
        <f ca="1">IF((_xlfn.NUMBERVALUE(Bilan!G20)), IF(AND(Bilan!G20&lt;=Bilan!G22), "non valide", "valide"),"")</f>
        <v>non valide</v>
      </c>
      <c r="G28" s="226" t="str">
        <f ca="1">IF((_xlfn.NUMBERVALUE(Bilan!H20)), IF(AND(Bilan!H20&lt;=Bilan!H22), "non valide", "valide"),"")</f>
        <v>non valide</v>
      </c>
      <c r="H28" s="226"/>
      <c r="I28" s="226"/>
    </row>
    <row r="29" spans="1:9" x14ac:dyDescent="0.15">
      <c r="A29" s="226"/>
      <c r="B29" s="226"/>
      <c r="C29" s="226"/>
      <c r="D29" s="226"/>
      <c r="E29" s="226"/>
      <c r="F29" s="226"/>
      <c r="G29" s="226"/>
      <c r="H29" s="226"/>
      <c r="I29" s="226"/>
    </row>
    <row r="30" spans="1:9" x14ac:dyDescent="0.15">
      <c r="A30" s="226" t="s">
        <v>418</v>
      </c>
      <c r="B30" s="230" t="str">
        <f ca="1">IF(B27="valide",B15, "")</f>
        <v/>
      </c>
      <c r="C30" s="230" t="str">
        <f t="shared" ref="C30:H30" ca="1" si="14">IF(C27="valide",C15, "")</f>
        <v/>
      </c>
      <c r="D30" s="230" t="str">
        <f t="shared" ca="1" si="14"/>
        <v/>
      </c>
      <c r="E30" s="230" t="str">
        <f t="shared" ca="1" si="14"/>
        <v/>
      </c>
      <c r="F30" s="230" t="str">
        <f t="shared" ca="1" si="14"/>
        <v/>
      </c>
      <c r="G30" s="230" t="str">
        <f t="shared" ca="1" si="14"/>
        <v/>
      </c>
      <c r="H30" s="230" t="str">
        <f t="shared" si="14"/>
        <v/>
      </c>
      <c r="I30" s="226"/>
    </row>
    <row r="31" spans="1:9" x14ac:dyDescent="0.15">
      <c r="A31" s="226" t="s">
        <v>418</v>
      </c>
      <c r="B31" s="230">
        <f ca="1">IF(B28="valide",B22, "")</f>
        <v>3.4185727930279071</v>
      </c>
      <c r="C31" s="230" t="str">
        <f t="shared" ref="C31:H31" ca="1" si="15">IF(C28="valide",C22, "")</f>
        <v/>
      </c>
      <c r="D31" s="230" t="str">
        <f t="shared" ca="1" si="15"/>
        <v/>
      </c>
      <c r="E31" s="230" t="str">
        <f t="shared" ca="1" si="15"/>
        <v/>
      </c>
      <c r="F31" s="230" t="str">
        <f t="shared" ca="1" si="15"/>
        <v/>
      </c>
      <c r="G31" s="230" t="str">
        <f t="shared" ca="1" si="15"/>
        <v/>
      </c>
      <c r="H31" s="230" t="str">
        <f t="shared" si="15"/>
        <v/>
      </c>
      <c r="I31" s="226"/>
    </row>
    <row r="32" spans="1:9" x14ac:dyDescent="0.15">
      <c r="A32" s="226"/>
      <c r="B32" s="226"/>
      <c r="C32" s="226"/>
      <c r="D32" s="226"/>
      <c r="E32" s="226"/>
      <c r="F32" s="226"/>
      <c r="G32" s="226"/>
      <c r="H32" s="226"/>
      <c r="I32" s="226"/>
    </row>
    <row r="33" spans="1:9" x14ac:dyDescent="0.15">
      <c r="A33" s="226"/>
      <c r="B33" s="226"/>
      <c r="C33" s="226"/>
      <c r="D33" s="226"/>
      <c r="E33" s="226"/>
      <c r="F33" s="226"/>
      <c r="G33" s="226"/>
      <c r="H33" s="226"/>
      <c r="I33" s="226"/>
    </row>
    <row r="34" spans="1:9" x14ac:dyDescent="0.15">
      <c r="A34" s="226" t="s">
        <v>403</v>
      </c>
      <c r="B34" s="230" t="e">
        <f ca="1">INDEX(B30:H30, MATCH(9E+99, B30:H30, 1))</f>
        <v>#N/A</v>
      </c>
      <c r="C34" s="226"/>
      <c r="D34" s="226"/>
      <c r="E34" s="226"/>
      <c r="F34" s="226"/>
      <c r="G34" s="226"/>
      <c r="H34" s="226"/>
      <c r="I34" s="226"/>
    </row>
    <row r="35" spans="1:9" x14ac:dyDescent="0.15">
      <c r="A35" s="226" t="s">
        <v>404</v>
      </c>
      <c r="B35" s="230">
        <f ca="1">INDEX(B31:H31, MATCH(9E+99, B31:H31, 1))</f>
        <v>3.4185727930279071</v>
      </c>
      <c r="C35" s="226"/>
      <c r="D35" s="226"/>
      <c r="E35" s="226"/>
      <c r="F35" s="226"/>
      <c r="G35" s="226"/>
      <c r="H35" s="226"/>
      <c r="I35" s="226"/>
    </row>
    <row r="36" spans="1:9" x14ac:dyDescent="0.15">
      <c r="A36" s="226"/>
      <c r="B36" s="231" t="str">
        <f ca="1">IFERROR(ADDRESS(27, MATCH("non valide", B27:H27, 0) + COLUMN(B27) - 1), "Aucune cellule non valide")</f>
        <v>$B$27</v>
      </c>
      <c r="C36" s="230" t="str">
        <f t="shared" ref="C36" si="16">IF(C33="valide",C21, "")</f>
        <v/>
      </c>
      <c r="D36" s="226" t="str">
        <f ca="1">INDIRECT(ADDRESS(ROW(INDIRECT(B36))+3, COLUMN(INDIRECT(B36)) -1))</f>
        <v>nd</v>
      </c>
      <c r="E36" s="226"/>
      <c r="F36" s="226"/>
      <c r="G36" s="226"/>
      <c r="H36" s="226"/>
      <c r="I36" s="226"/>
    </row>
    <row r="37" spans="1:9" x14ac:dyDescent="0.15">
      <c r="A37" s="226"/>
      <c r="B37" s="231" t="str">
        <f ca="1">IFERROR(ADDRESS(28, MATCH("non valide", B28:H28, 0) + COLUMN(B28) - 1), "Aucune cellule non valide")</f>
        <v>$C$28</v>
      </c>
      <c r="C37" s="226"/>
      <c r="D37" s="226">
        <f ca="1">INDIRECT(ADDRESS(ROW(INDIRECT(B37))+3, COLUMN(INDIRECT(B37)) -1))</f>
        <v>3.4185727930279071</v>
      </c>
      <c r="E37" s="226"/>
      <c r="F37" s="226"/>
      <c r="G37" s="226"/>
      <c r="H37" s="226"/>
      <c r="I37" s="226"/>
    </row>
    <row r="38" spans="1:9" x14ac:dyDescent="0.15">
      <c r="A38" s="226"/>
      <c r="B38" s="231" t="str">
        <f t="array" aca="1" ref="B38" ca="1">IFERROR(ADDRESS(27,MIN(IF((B27:G27="valide")*(C27:H27="non valide"),COLUMN(C27:H27)))),"Aucune")</f>
        <v>Aucune</v>
      </c>
      <c r="C38" s="226"/>
      <c r="D38" s="226" t="e">
        <f ca="1">INDIRECT(ADDRESS(ROW(INDIRECT(B38))+3, COLUMN(INDIRECT(B38)) -1))</f>
        <v>#REF!</v>
      </c>
      <c r="E38" s="226"/>
      <c r="F38" s="226"/>
      <c r="G38" s="226"/>
      <c r="H38" s="226"/>
      <c r="I38" s="226"/>
    </row>
    <row r="39" spans="1:9" x14ac:dyDescent="0.15">
      <c r="A39" s="226"/>
      <c r="B39" s="231" t="str">
        <f t="array" aca="1" ref="B39" ca="1">IFERROR(ADDRESS(28,MIN(IF((B28:G28="valide")*(C28:H28="non valide"),COLUMN(C28:H28)))),"Aucune")</f>
        <v>$C$28</v>
      </c>
      <c r="C39" s="226"/>
      <c r="D39" s="226">
        <f ca="1">INDIRECT(ADDRESS(ROW(INDIRECT(B39))+3, COLUMN(INDIRECT(B39)) -1))</f>
        <v>3.4185727930279071</v>
      </c>
      <c r="E39" s="226"/>
      <c r="F39" s="226"/>
      <c r="G39" s="226"/>
      <c r="H39" s="226"/>
      <c r="I39" s="226"/>
    </row>
    <row r="40" spans="1:9" x14ac:dyDescent="0.15">
      <c r="A40" s="226" t="s">
        <v>405</v>
      </c>
      <c r="B40" s="230">
        <f ca="1">IF(OR(ISERROR(D38), ISERROR(D39)), IF(ISERROR(D38), D39, D38), MAX(D38, D39))</f>
        <v>3.4185727930279071</v>
      </c>
      <c r="C40" s="226"/>
      <c r="D40" s="226"/>
      <c r="E40" s="226"/>
      <c r="F40" s="226"/>
      <c r="G40" s="226"/>
      <c r="H40" s="226"/>
      <c r="I40" s="226"/>
    </row>
    <row r="41" spans="1:9" x14ac:dyDescent="0.15">
      <c r="A41" s="226"/>
      <c r="B41" s="226"/>
      <c r="C41" s="226"/>
      <c r="D41" s="226"/>
      <c r="E41" s="226" t="e">
        <f ca="1">IF(LOQ!B75=0,"","")</f>
        <v>#REF!</v>
      </c>
      <c r="F41" s="226"/>
      <c r="G41" s="226"/>
      <c r="H41" s="226"/>
      <c r="I41" s="226"/>
    </row>
    <row r="42" spans="1:9" x14ac:dyDescent="0.15">
      <c r="A42" s="226"/>
      <c r="B42" s="226"/>
      <c r="C42" s="226"/>
      <c r="D42" s="226"/>
      <c r="E42" s="226"/>
      <c r="F42" s="226"/>
      <c r="G42" s="226"/>
      <c r="H42" s="226"/>
      <c r="I42" s="226"/>
    </row>
    <row r="43" spans="1:9" x14ac:dyDescent="0.15">
      <c r="A43" s="226" t="s">
        <v>411</v>
      </c>
      <c r="B43" s="226"/>
      <c r="C43" s="226"/>
      <c r="D43" s="226"/>
      <c r="E43" s="226"/>
      <c r="F43" s="226"/>
      <c r="G43" s="226"/>
      <c r="H43" s="226"/>
      <c r="I43" s="226"/>
    </row>
    <row r="44" spans="1:9" x14ac:dyDescent="0.15">
      <c r="A44" s="226"/>
      <c r="B44" s="226"/>
      <c r="C44" s="226"/>
      <c r="D44" s="226"/>
      <c r="E44" s="226"/>
      <c r="F44" s="226"/>
      <c r="G44" s="226"/>
      <c r="H44" s="226"/>
      <c r="I44" s="226"/>
    </row>
    <row r="45" spans="1:9" hidden="1" x14ac:dyDescent="0.15">
      <c r="A45" s="226"/>
      <c r="B45" s="231" t="str">
        <f ca="1">IF(ISNUMBER(B15), "valide", "")</f>
        <v>valide</v>
      </c>
      <c r="C45" s="231" t="str">
        <f t="shared" ref="C45:H45" ca="1" si="17">IF(ISNUMBER(C15), "valide", "")</f>
        <v>valide</v>
      </c>
      <c r="D45" s="231" t="str">
        <f t="shared" ca="1" si="17"/>
        <v>valide</v>
      </c>
      <c r="E45" s="231" t="str">
        <f t="shared" ca="1" si="17"/>
        <v>valide</v>
      </c>
      <c r="F45" s="231" t="str">
        <f t="shared" ca="1" si="17"/>
        <v>valide</v>
      </c>
      <c r="G45" s="231" t="str">
        <f t="shared" ca="1" si="17"/>
        <v>valide</v>
      </c>
      <c r="H45" s="231" t="str">
        <f t="shared" si="17"/>
        <v/>
      </c>
      <c r="I45" s="226"/>
    </row>
    <row r="46" spans="1:9" hidden="1" x14ac:dyDescent="0.15">
      <c r="A46" s="226"/>
      <c r="B46" s="231" t="str">
        <f ca="1">IF(ISNUMBER(B22), "valide", "")</f>
        <v>valide</v>
      </c>
      <c r="C46" s="231" t="str">
        <f t="shared" ref="C46:H46" ca="1" si="18">IF(ISNUMBER(C22), "valide", "")</f>
        <v>valide</v>
      </c>
      <c r="D46" s="231" t="str">
        <f t="shared" ca="1" si="18"/>
        <v>valide</v>
      </c>
      <c r="E46" s="231" t="str">
        <f t="shared" ca="1" si="18"/>
        <v>valide</v>
      </c>
      <c r="F46" s="231" t="str">
        <f t="shared" ca="1" si="18"/>
        <v>valide</v>
      </c>
      <c r="G46" s="231" t="str">
        <f t="shared" ca="1" si="18"/>
        <v>valide</v>
      </c>
      <c r="H46" s="231" t="str">
        <f t="shared" si="18"/>
        <v/>
      </c>
      <c r="I46" s="226"/>
    </row>
    <row r="47" spans="1:9" hidden="1" x14ac:dyDescent="0.15">
      <c r="A47" s="226"/>
      <c r="B47" s="226"/>
      <c r="C47" s="226"/>
      <c r="D47" s="226"/>
      <c r="E47" s="226"/>
      <c r="F47" s="226"/>
      <c r="G47" s="226"/>
      <c r="H47" s="226"/>
      <c r="I47" s="226"/>
    </row>
    <row r="48" spans="1:9" hidden="1" x14ac:dyDescent="0.15">
      <c r="A48" s="226"/>
      <c r="B48" s="226"/>
      <c r="C48" s="226"/>
      <c r="D48" s="226"/>
      <c r="E48" s="226"/>
      <c r="F48" s="226"/>
      <c r="G48" s="226"/>
      <c r="H48" s="226"/>
      <c r="I48" s="226"/>
    </row>
    <row r="49" spans="1:9" hidden="1" x14ac:dyDescent="0.15">
      <c r="A49" s="226"/>
      <c r="B49" s="230">
        <f ca="1">IF(B45="valide",B15, "")</f>
        <v>0.94426825710488838</v>
      </c>
      <c r="C49" s="230">
        <f t="shared" ref="C49:H49" ca="1" si="19">IF(C45="valide",C15, "")</f>
        <v>-1.3142921395022567</v>
      </c>
      <c r="D49" s="230">
        <f t="shared" ca="1" si="19"/>
        <v>1.8486125341310915</v>
      </c>
      <c r="E49" s="230">
        <f t="shared" ca="1" si="19"/>
        <v>-5.9511790479227828</v>
      </c>
      <c r="F49" s="230">
        <f t="shared" ca="1" si="19"/>
        <v>1.1278843878770792</v>
      </c>
      <c r="G49" s="230">
        <f t="shared" ca="1" si="19"/>
        <v>1.3845371698800422</v>
      </c>
      <c r="H49" s="230" t="str">
        <f t="shared" si="19"/>
        <v/>
      </c>
      <c r="I49" s="226"/>
    </row>
    <row r="50" spans="1:9" hidden="1" x14ac:dyDescent="0.15">
      <c r="A50" s="226"/>
      <c r="B50" s="230">
        <f ca="1">IF(B46="valide",B22, "")</f>
        <v>3.4185727930279071</v>
      </c>
      <c r="C50" s="230">
        <f t="shared" ref="C50:H50" ca="1" si="20">IF(C46="valide",C22, "")</f>
        <v>3.3213108578553556</v>
      </c>
      <c r="D50" s="230">
        <f t="shared" ca="1" si="20"/>
        <v>-125.18066343487318</v>
      </c>
      <c r="E50" s="230">
        <f t="shared" ca="1" si="20"/>
        <v>6.2885130013273045</v>
      </c>
      <c r="F50" s="230">
        <f t="shared" ca="1" si="20"/>
        <v>4.2973686953069263</v>
      </c>
      <c r="G50" s="230">
        <f t="shared" ca="1" si="20"/>
        <v>4.1700502630868526</v>
      </c>
      <c r="H50" s="230" t="str">
        <f t="shared" si="20"/>
        <v/>
      </c>
      <c r="I50" s="226"/>
    </row>
    <row r="51" spans="1:9" hidden="1" x14ac:dyDescent="0.15">
      <c r="A51" s="226"/>
      <c r="B51" s="226"/>
      <c r="C51" s="226"/>
      <c r="D51" s="226"/>
      <c r="E51" s="226"/>
      <c r="F51" s="226"/>
      <c r="G51" s="226"/>
      <c r="H51" s="226"/>
      <c r="I51" s="226"/>
    </row>
    <row r="52" spans="1:9" hidden="1" x14ac:dyDescent="0.15">
      <c r="A52" s="226"/>
      <c r="B52" s="230">
        <f ca="1">INDEX(B49:H49, MATCH(9E+99, B49:H49, 1))</f>
        <v>1.3845371698800422</v>
      </c>
      <c r="C52" s="226"/>
      <c r="D52" s="226"/>
      <c r="E52" s="226"/>
      <c r="F52" s="226"/>
      <c r="G52" s="226"/>
      <c r="H52" s="226"/>
      <c r="I52" s="226"/>
    </row>
    <row r="53" spans="1:9" hidden="1" x14ac:dyDescent="0.15">
      <c r="A53" s="226"/>
      <c r="B53" s="230">
        <f ca="1">INDEX(B50:H50, MATCH(9E+99, B50:H50, 1))</f>
        <v>4.1700502630868526</v>
      </c>
      <c r="C53" s="226"/>
      <c r="D53" s="226"/>
      <c r="E53" s="226"/>
      <c r="F53" s="226"/>
      <c r="G53" s="226"/>
      <c r="H53" s="226"/>
      <c r="I53" s="226"/>
    </row>
    <row r="54" spans="1:9" hidden="1" x14ac:dyDescent="0.15">
      <c r="A54" s="226"/>
      <c r="B54" s="230"/>
      <c r="C54" s="226"/>
      <c r="D54" s="226"/>
      <c r="E54" s="226"/>
      <c r="F54" s="226"/>
      <c r="G54" s="226"/>
      <c r="H54" s="226"/>
      <c r="I54" s="226"/>
    </row>
    <row r="55" spans="1:9" hidden="1" x14ac:dyDescent="0.15">
      <c r="A55" s="231"/>
      <c r="B55" s="231" t="str">
        <f ca="1">IF($C$27="valide", "valide", "non valide")</f>
        <v>non valide</v>
      </c>
      <c r="C55" s="231" t="str">
        <f t="shared" ref="C55:G55" ca="1" si="21">IF($C$27="valide", "valide", "non valide")</f>
        <v>non valide</v>
      </c>
      <c r="D55" s="231" t="str">
        <f t="shared" ca="1" si="21"/>
        <v>non valide</v>
      </c>
      <c r="E55" s="231" t="str">
        <f t="shared" ca="1" si="21"/>
        <v>non valide</v>
      </c>
      <c r="F55" s="231" t="str">
        <f t="shared" ca="1" si="21"/>
        <v>non valide</v>
      </c>
      <c r="G55" s="231" t="str">
        <f t="shared" ca="1" si="21"/>
        <v>non valide</v>
      </c>
      <c r="H55" s="231"/>
      <c r="I55" s="226"/>
    </row>
    <row r="56" spans="1:9" hidden="1" x14ac:dyDescent="0.15">
      <c r="A56" s="231"/>
      <c r="B56" s="230" t="str">
        <f ca="1">IF($B$55="valide", $B$15, "")</f>
        <v/>
      </c>
      <c r="C56" s="230" t="str">
        <f t="shared" ref="C56:G56" ca="1" si="22">IF($B$55="valide", $B$15, "")</f>
        <v/>
      </c>
      <c r="D56" s="230" t="str">
        <f t="shared" ca="1" si="22"/>
        <v/>
      </c>
      <c r="E56" s="230" t="str">
        <f t="shared" ca="1" si="22"/>
        <v/>
      </c>
      <c r="F56" s="230" t="str">
        <f t="shared" ca="1" si="22"/>
        <v/>
      </c>
      <c r="G56" s="230" t="str">
        <f t="shared" ca="1" si="22"/>
        <v/>
      </c>
      <c r="H56" s="230"/>
      <c r="I56" s="226"/>
    </row>
    <row r="57" spans="1:9" hidden="1" x14ac:dyDescent="0.15">
      <c r="A57" s="231"/>
      <c r="B57" s="231"/>
      <c r="C57" s="231"/>
      <c r="D57" s="231"/>
      <c r="E57" s="231"/>
      <c r="F57" s="231"/>
      <c r="G57" s="231"/>
      <c r="H57" s="231"/>
      <c r="I57" s="226"/>
    </row>
    <row r="58" spans="1:9" hidden="1" x14ac:dyDescent="0.15">
      <c r="A58" s="231"/>
      <c r="B58" s="231" t="str">
        <f ca="1">IF($C$28="valide","valide","non valide")</f>
        <v>non valide</v>
      </c>
      <c r="C58" s="231" t="str">
        <f t="shared" ref="C58:G58" ca="1" si="23">IF($C$28="valide","valide","non valide")</f>
        <v>non valide</v>
      </c>
      <c r="D58" s="231" t="str">
        <f t="shared" ca="1" si="23"/>
        <v>non valide</v>
      </c>
      <c r="E58" s="231" t="str">
        <f t="shared" ca="1" si="23"/>
        <v>non valide</v>
      </c>
      <c r="F58" s="231" t="str">
        <f t="shared" ca="1" si="23"/>
        <v>non valide</v>
      </c>
      <c r="G58" s="231" t="str">
        <f t="shared" ca="1" si="23"/>
        <v>non valide</v>
      </c>
      <c r="H58" s="231"/>
      <c r="I58" s="226"/>
    </row>
    <row r="59" spans="1:9" hidden="1" x14ac:dyDescent="0.15">
      <c r="A59" s="231"/>
      <c r="B59" s="230" t="str">
        <f ca="1">IF($B$58="valide", $B$22, "")</f>
        <v/>
      </c>
      <c r="C59" s="230" t="str">
        <f t="shared" ref="C59:G59" ca="1" si="24">IF($B$58="valide", $B$22, "")</f>
        <v/>
      </c>
      <c r="D59" s="230" t="str">
        <f t="shared" ca="1" si="24"/>
        <v/>
      </c>
      <c r="E59" s="230" t="str">
        <f t="shared" ca="1" si="24"/>
        <v/>
      </c>
      <c r="F59" s="230" t="str">
        <f t="shared" ca="1" si="24"/>
        <v/>
      </c>
      <c r="G59" s="230" t="str">
        <f t="shared" ca="1" si="24"/>
        <v/>
      </c>
      <c r="H59" s="230" t="str">
        <f>IF(H58="1", H22, "")</f>
        <v/>
      </c>
      <c r="I59" s="226"/>
    </row>
    <row r="60" spans="1:9" hidden="1" x14ac:dyDescent="0.15">
      <c r="A60" s="231"/>
      <c r="B60" s="231"/>
      <c r="C60" s="231"/>
      <c r="D60" s="231"/>
      <c r="E60" s="231"/>
      <c r="F60" s="231"/>
      <c r="G60" s="231"/>
      <c r="H60" s="231"/>
      <c r="I60" s="226"/>
    </row>
    <row r="61" spans="1:9" x14ac:dyDescent="0.15">
      <c r="A61" s="226"/>
      <c r="B61" s="226"/>
      <c r="C61" s="226"/>
      <c r="D61" s="226"/>
      <c r="E61" s="226"/>
      <c r="F61" s="226"/>
      <c r="G61" s="226"/>
      <c r="H61" s="226"/>
      <c r="I61" s="226"/>
    </row>
    <row r="62" spans="1:9" x14ac:dyDescent="0.15">
      <c r="A62" s="226"/>
      <c r="B62" s="226" t="str">
        <f ca="1">IF($H$25="valide","valide","non valide")</f>
        <v>non valide</v>
      </c>
      <c r="C62" s="226" t="str">
        <f ca="1">IF($G$25="valide","valide","non valide")</f>
        <v>non valide</v>
      </c>
      <c r="D62" s="226" t="str">
        <f ca="1">IF($F$25="valide","valide","non valide")</f>
        <v>non valide</v>
      </c>
      <c r="E62" s="226" t="str">
        <f ca="1">IF($E$25="valide","valide","non valide")</f>
        <v>non valide</v>
      </c>
      <c r="F62" s="226" t="str">
        <f ca="1">IF($D$25="valide","valide","non valide")</f>
        <v>non valide</v>
      </c>
      <c r="G62" s="226" t="str">
        <f ca="1">IF($C$25="valide","valide","non valide")</f>
        <v>non valide</v>
      </c>
      <c r="H62" s="226"/>
      <c r="I62" s="226"/>
    </row>
    <row r="63" spans="1:9" x14ac:dyDescent="0.15">
      <c r="A63" s="226"/>
      <c r="B63" s="230" t="str">
        <f ca="1">IF($G$83="valide",$G$15,"")</f>
        <v/>
      </c>
      <c r="C63" s="230" t="str">
        <f ca="1">IF($F$83="valide",$F$15,"")</f>
        <v/>
      </c>
      <c r="D63" s="230" t="str">
        <f ca="1">IF($E$83="valide",$E$15,"")</f>
        <v/>
      </c>
      <c r="E63" s="230" t="str">
        <f ca="1">IF($D$83="valide",$D$15,"")</f>
        <v/>
      </c>
      <c r="F63" s="230" t="str">
        <f ca="1">IF($C$83="valide",$C$15,"")</f>
        <v/>
      </c>
      <c r="G63" s="230" t="str">
        <f ca="1">IF($B$83="valide",$B$15,"")</f>
        <v/>
      </c>
      <c r="H63" s="226"/>
      <c r="I63" s="226"/>
    </row>
    <row r="64" spans="1:9" x14ac:dyDescent="0.15">
      <c r="A64" s="226"/>
      <c r="B64" s="226"/>
      <c r="C64" s="226"/>
      <c r="D64" s="226"/>
      <c r="E64" s="226"/>
      <c r="F64" s="226"/>
      <c r="G64" s="226"/>
      <c r="H64" s="226"/>
      <c r="I64" s="226"/>
    </row>
    <row r="65" spans="1:9" hidden="1" x14ac:dyDescent="0.15">
      <c r="A65" s="226"/>
      <c r="B65" s="231" t="str">
        <f ca="1">IFERROR(ADDRESS(62, MATCH("non valide", B62:G62, 0) + COLUMN(B62) - 1), "Aucune cellule non valide")</f>
        <v>$B$62</v>
      </c>
      <c r="C65" s="226"/>
      <c r="D65" s="232">
        <f ca="1">INDIRECT(ADDRESS(ROW(INDIRECT(B65))+1, COLUMN(INDIRECT(B65)) -1))</f>
        <v>0</v>
      </c>
      <c r="E65" s="226"/>
      <c r="F65" s="226"/>
      <c r="G65" s="226"/>
      <c r="H65" s="226"/>
      <c r="I65" s="226"/>
    </row>
    <row r="66" spans="1:9" x14ac:dyDescent="0.15">
      <c r="A66" s="226"/>
      <c r="B66" s="231" t="str">
        <f ca="1">IFERROR(ADDRESS(62, MATCH("non valide", OFFSET(B62, 0, MATCH("valide", B62:G62, 0)-COLUMN(B62)+1, 1, COLUMN(G62)-MATCH("valide", B62:G62, 0)+1), 0) + MATCH("valide", B62:G62, 0)-1), "Aucune cellule non valide")</f>
        <v>Aucune cellule non valide</v>
      </c>
      <c r="C66" s="226"/>
      <c r="D66" s="232" t="e">
        <f ca="1">INDIRECT(ADDRESS(ROW(INDIRECT(B66))+1, COLUMN(INDIRECT(B66))))</f>
        <v>#REF!</v>
      </c>
      <c r="E66" s="226"/>
      <c r="F66" s="226"/>
      <c r="G66" s="226"/>
      <c r="H66" s="226"/>
      <c r="I66" s="226"/>
    </row>
    <row r="67" spans="1:9" x14ac:dyDescent="0.15">
      <c r="A67" s="226"/>
      <c r="B67" s="226"/>
      <c r="C67" s="226"/>
      <c r="D67" s="226"/>
      <c r="E67" s="226"/>
      <c r="F67" s="226"/>
      <c r="G67" s="226"/>
      <c r="H67" s="226"/>
      <c r="I67" s="226"/>
    </row>
    <row r="68" spans="1:9" x14ac:dyDescent="0.15">
      <c r="A68" s="226"/>
      <c r="B68" s="226" t="str">
        <f ca="1">IF($H$26="valide", "valide","non valide")</f>
        <v>non valide</v>
      </c>
      <c r="C68" s="226" t="str">
        <f ca="1">IF($G$26="valide", "valide","non valide")</f>
        <v>non valide</v>
      </c>
      <c r="D68" s="226" t="str">
        <f ca="1">IF($F$26="valide", "valide","non valide")</f>
        <v>non valide</v>
      </c>
      <c r="E68" s="226" t="str">
        <f ca="1">IF($E$26="valide", "valide","non valide")</f>
        <v>non valide</v>
      </c>
      <c r="F68" s="226" t="str">
        <f ca="1">IF($D$26="valide", "valide","non valide")</f>
        <v>non valide</v>
      </c>
      <c r="G68" s="226" t="str">
        <f ca="1">IF($C$26="valide", "valide","non valide")</f>
        <v>non valide</v>
      </c>
      <c r="H68" s="226"/>
      <c r="I68" s="226"/>
    </row>
    <row r="69" spans="1:9" x14ac:dyDescent="0.15">
      <c r="A69" s="226"/>
      <c r="B69" s="226" t="str">
        <f ca="1">IF($G$86="valide",$G$22,"")</f>
        <v/>
      </c>
      <c r="C69" s="226" t="str">
        <f ca="1">IF($F$86="valide",$F$22,"")</f>
        <v/>
      </c>
      <c r="D69" s="226" t="str">
        <f ca="1">IF($E$86="valide",$E$22,"")</f>
        <v/>
      </c>
      <c r="E69" s="226" t="str">
        <f ca="1">IF($D$86="valide",$D$22,"")</f>
        <v/>
      </c>
      <c r="F69" s="226" t="str">
        <f ca="1">IF($C$86="valide",$C$22,"")</f>
        <v/>
      </c>
      <c r="G69" s="226" t="str">
        <f ca="1">IF($B$86="valide",$B$22,"")</f>
        <v/>
      </c>
      <c r="H69" s="226"/>
      <c r="I69" s="226"/>
    </row>
    <row r="70" spans="1:9" x14ac:dyDescent="0.15">
      <c r="A70" s="226"/>
      <c r="B70" s="226"/>
      <c r="C70" s="226"/>
      <c r="D70" s="226"/>
      <c r="E70" s="226"/>
      <c r="F70" s="226"/>
      <c r="G70" s="226"/>
      <c r="H70" s="226"/>
      <c r="I70" s="226"/>
    </row>
    <row r="71" spans="1:9" hidden="1" x14ac:dyDescent="0.15">
      <c r="A71" s="226"/>
      <c r="B71" s="231" t="str">
        <f ca="1">IFERROR(ADDRESS(68, MATCH("non valide", B68:G68, 0) + COLUMN(B68) - 1), "Aucune cellule non valide")</f>
        <v>$B$68</v>
      </c>
      <c r="C71" s="226"/>
      <c r="D71" s="231">
        <f ca="1">INDIRECT(ADDRESS(ROW(INDIRECT(B71))+1, COLUMN(INDIRECT(B71)) -1))</f>
        <v>0</v>
      </c>
      <c r="E71" s="226"/>
      <c r="F71" s="226"/>
      <c r="G71" s="226"/>
      <c r="H71" s="226"/>
      <c r="I71" s="226"/>
    </row>
    <row r="72" spans="1:9" x14ac:dyDescent="0.15">
      <c r="A72" s="226"/>
      <c r="B72" s="231" t="str">
        <f ca="1">IFERROR(ADDRESS(68, MATCH("non valide", OFFSET(B68, 0, MATCH("valide", B68:G68, 0)-COLUMN(B68)+1, 1, COLUMN(G68)-MATCH("valide", B68:G68, 0)+1), 0) + MATCH("valide", B68:G68, 0)-1), "Aucune cellule non valide")</f>
        <v>Aucune cellule non valide</v>
      </c>
      <c r="C72" s="226"/>
      <c r="D72" s="231" t="e">
        <f ca="1">INDIRECT(ADDRESS(ROW(INDIRECT(B72))+1, COLUMN(INDIRECT(B72))))</f>
        <v>#REF!</v>
      </c>
      <c r="E72" s="226"/>
      <c r="F72" s="226"/>
      <c r="G72" s="226"/>
      <c r="H72" s="226"/>
      <c r="I72" s="226"/>
    </row>
    <row r="73" spans="1:9" x14ac:dyDescent="0.15">
      <c r="A73" s="226"/>
      <c r="B73" s="226"/>
      <c r="C73" s="226"/>
      <c r="D73" s="226"/>
      <c r="E73" s="226"/>
      <c r="F73" s="226"/>
      <c r="G73" s="226"/>
      <c r="H73" s="226"/>
      <c r="I73" s="226"/>
    </row>
    <row r="74" spans="1:9" x14ac:dyDescent="0.15">
      <c r="A74" s="226"/>
      <c r="B74" s="226"/>
      <c r="C74" s="226"/>
      <c r="D74" s="226"/>
      <c r="E74" s="226"/>
      <c r="F74" s="226"/>
      <c r="G74" s="226"/>
      <c r="H74" s="226"/>
      <c r="I74" s="226"/>
    </row>
    <row r="75" spans="1:9" x14ac:dyDescent="0.15">
      <c r="A75" s="226" t="s">
        <v>412</v>
      </c>
      <c r="B75" s="230" t="e">
        <f ca="1">IF(OR(ISERROR(D66), ISERROR(D72)), IF(ISERROR(D66), D72, D66), MIN(D66, D72))</f>
        <v>#REF!</v>
      </c>
      <c r="C75" s="226"/>
      <c r="D75" s="226"/>
      <c r="E75" s="226"/>
      <c r="F75" s="226"/>
      <c r="G75" s="226"/>
      <c r="H75" s="226"/>
      <c r="I75" s="226"/>
    </row>
    <row r="76" spans="1:9" x14ac:dyDescent="0.15">
      <c r="A76" s="226"/>
      <c r="B76" s="226"/>
      <c r="C76" s="226"/>
      <c r="D76" s="226"/>
      <c r="E76" s="226"/>
      <c r="F76" s="226"/>
      <c r="G76" s="226"/>
      <c r="H76" s="226"/>
      <c r="I76" s="226"/>
    </row>
    <row r="77" spans="1:9" x14ac:dyDescent="0.15">
      <c r="A77" s="226"/>
      <c r="B77" s="226"/>
      <c r="C77" s="226"/>
      <c r="D77" s="226"/>
      <c r="E77" s="226"/>
      <c r="F77" s="226"/>
      <c r="G77" s="226"/>
      <c r="H77" s="226"/>
      <c r="I77" s="226"/>
    </row>
    <row r="78" spans="1:9" x14ac:dyDescent="0.15">
      <c r="A78" s="226"/>
      <c r="B78" s="226"/>
      <c r="C78" s="226"/>
      <c r="D78" s="226"/>
      <c r="E78" s="226"/>
      <c r="F78" s="226"/>
      <c r="G78" s="226"/>
      <c r="H78" s="226"/>
      <c r="I78" s="226"/>
    </row>
    <row r="79" spans="1:9" x14ac:dyDescent="0.15">
      <c r="A79" s="226" t="s">
        <v>415</v>
      </c>
      <c r="B79" s="226">
        <f ca="1">INDEX(B4:H4, 1, MATCH(9^9, B4:H4, 1))</f>
        <v>21.6</v>
      </c>
      <c r="C79" s="226"/>
      <c r="D79" s="226"/>
      <c r="E79" s="226"/>
      <c r="F79" s="226"/>
      <c r="G79" s="226"/>
      <c r="H79" s="226"/>
      <c r="I79" s="226"/>
    </row>
    <row r="80" spans="1:9" x14ac:dyDescent="0.15">
      <c r="A80" s="226"/>
      <c r="B80" s="226"/>
      <c r="C80" s="226"/>
      <c r="D80" s="226"/>
      <c r="E80" s="226"/>
      <c r="F80" s="226"/>
      <c r="G80" s="226"/>
      <c r="H80" s="226"/>
      <c r="I80" s="226"/>
    </row>
    <row r="81" spans="1:9" x14ac:dyDescent="0.15">
      <c r="A81" s="226"/>
      <c r="B81" s="226"/>
      <c r="C81" s="226"/>
      <c r="D81" s="226"/>
      <c r="E81" s="226"/>
      <c r="F81" s="226"/>
      <c r="G81" s="226"/>
      <c r="H81" s="226"/>
      <c r="I81" s="226"/>
    </row>
    <row r="82" spans="1:9" x14ac:dyDescent="0.15">
      <c r="A82" s="226"/>
      <c r="B82" s="226"/>
      <c r="C82" s="226"/>
      <c r="D82" s="226"/>
      <c r="E82" s="226"/>
      <c r="F82" s="226"/>
      <c r="G82" s="226"/>
      <c r="H82" s="226"/>
      <c r="I82" s="226"/>
    </row>
    <row r="83" spans="1:9" x14ac:dyDescent="0.15">
      <c r="A83" s="226"/>
      <c r="B83" s="226" t="str">
        <f ca="1">IF($C$25="valide","valide","non valide")</f>
        <v>non valide</v>
      </c>
      <c r="C83" s="226" t="str">
        <f ca="1">IF($D$25="valide","valide","non valide")</f>
        <v>non valide</v>
      </c>
      <c r="D83" s="226" t="str">
        <f ca="1">IF($E$25="valide","valide","non valide")</f>
        <v>non valide</v>
      </c>
      <c r="E83" s="226" t="str">
        <f ca="1">IF($F$25="valide","valide","non valide")</f>
        <v>non valide</v>
      </c>
      <c r="F83" s="226" t="str">
        <f ca="1">IF($G$25="valide","valide","non valide")</f>
        <v>non valide</v>
      </c>
      <c r="G83" s="226" t="str">
        <f ca="1">IF($H$25="valide","valide","non valide")</f>
        <v>non valide</v>
      </c>
      <c r="H83" s="226"/>
      <c r="I83" s="226"/>
    </row>
    <row r="84" spans="1:9" x14ac:dyDescent="0.15">
      <c r="A84" s="226"/>
      <c r="B84" s="230" t="str">
        <f ca="1">IF($B$83="valide",$B$15,"")</f>
        <v/>
      </c>
      <c r="C84" s="230" t="str">
        <f ca="1">IF($C$83="valide",$C$15,"")</f>
        <v/>
      </c>
      <c r="D84" s="230" t="str">
        <f ca="1">IF($D$83="valide",$D$15,"")</f>
        <v/>
      </c>
      <c r="E84" s="230" t="str">
        <f ca="1">IF($E$83="valide",$E$15,"")</f>
        <v/>
      </c>
      <c r="F84" s="230" t="str">
        <f ca="1">IF($F$83="valide",$F$15,"")</f>
        <v/>
      </c>
      <c r="G84" s="230" t="str">
        <f ca="1">IF($G$83="valide",$G$15,"")</f>
        <v/>
      </c>
      <c r="H84" s="226"/>
      <c r="I84" s="226"/>
    </row>
    <row r="85" spans="1:9" x14ac:dyDescent="0.15">
      <c r="A85" s="226"/>
      <c r="B85" s="226"/>
      <c r="C85" s="226"/>
      <c r="D85" s="226"/>
      <c r="E85" s="226"/>
      <c r="F85" s="226"/>
      <c r="G85" s="226"/>
      <c r="H85" s="226"/>
      <c r="I85" s="226"/>
    </row>
    <row r="86" spans="1:9" x14ac:dyDescent="0.15">
      <c r="A86" s="226"/>
      <c r="B86" s="226" t="str">
        <f ca="1">IF($C$26="valide", "valide","non valide")</f>
        <v>non valide</v>
      </c>
      <c r="C86" s="226" t="str">
        <f ca="1">IF($D$26="valide", "valide","non valide")</f>
        <v>non valide</v>
      </c>
      <c r="D86" s="226" t="str">
        <f ca="1">IF($E$26="valide", "valide","non valide")</f>
        <v>non valide</v>
      </c>
      <c r="E86" s="226" t="str">
        <f ca="1">IF($F$26="valide", "valide","non valide")</f>
        <v>non valide</v>
      </c>
      <c r="F86" s="226" t="str">
        <f ca="1">IF($G$26="valide", "valide","non valide")</f>
        <v>non valide</v>
      </c>
      <c r="G86" s="226" t="str">
        <f ca="1">IF($H$26="valide", "valide","non valide")</f>
        <v>non valide</v>
      </c>
      <c r="H86" s="226"/>
      <c r="I86" s="226"/>
    </row>
    <row r="87" spans="1:9" x14ac:dyDescent="0.15">
      <c r="A87" s="226"/>
      <c r="B87" s="226" t="str">
        <f ca="1">IF($B$86="valide",$B$22,"")</f>
        <v/>
      </c>
      <c r="C87" s="226" t="str">
        <f ca="1">IF($C$86="valide",$C$22,"")</f>
        <v/>
      </c>
      <c r="D87" s="226" t="str">
        <f ca="1">IF($D$86="valide",$D$22,"")</f>
        <v/>
      </c>
      <c r="E87" s="226" t="str">
        <f ca="1">IF($E$86="valide",$E$22,"")</f>
        <v/>
      </c>
      <c r="F87" s="226" t="str">
        <f ca="1">IF($F$86="valide",$F$22,"")</f>
        <v/>
      </c>
      <c r="G87" s="226" t="str">
        <f ca="1">IF($G$86="valide",$G$22,"")</f>
        <v/>
      </c>
      <c r="H87" s="226"/>
      <c r="I87" s="226"/>
    </row>
  </sheetData>
  <sheetProtection algorithmName="SHA-512" hashValue="3vNdpeLgv4B8jdxPpwi3iJLOwYwl5GagfBxrNg2M4OX18Et0Izx7bFf62cE2LmyJKr5OQgG35NnQ4aZ+AdhDJA==" saltValue="bVokHAvsGo9rzAN/LfdbjQ==" spinCount="100000" sheet="1" objects="1" scenarios="1"/>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B122"/>
  <sheetViews>
    <sheetView topLeftCell="A99" workbookViewId="0">
      <selection activeCell="B126" sqref="B126"/>
    </sheetView>
  </sheetViews>
  <sheetFormatPr baseColWidth="10" defaultRowHeight="11.25" x14ac:dyDescent="0.15"/>
  <cols>
    <col min="1" max="1" width="48.375" customWidth="1"/>
    <col min="2" max="2" width="49.375" customWidth="1"/>
  </cols>
  <sheetData>
    <row r="1" spans="1:2" x14ac:dyDescent="0.15">
      <c r="A1" t="s">
        <v>82</v>
      </c>
      <c r="B1" t="s">
        <v>62</v>
      </c>
    </row>
    <row r="2" spans="1:2" x14ac:dyDescent="0.15">
      <c r="A2" t="s">
        <v>83</v>
      </c>
      <c r="B2" t="s">
        <v>63</v>
      </c>
    </row>
    <row r="3" spans="1:2" x14ac:dyDescent="0.15">
      <c r="A3" t="s">
        <v>85</v>
      </c>
      <c r="B3" t="s">
        <v>210</v>
      </c>
    </row>
    <row r="4" spans="1:2" x14ac:dyDescent="0.15">
      <c r="A4" t="s">
        <v>87</v>
      </c>
      <c r="B4" t="s">
        <v>68</v>
      </c>
    </row>
    <row r="5" spans="1:2" x14ac:dyDescent="0.15">
      <c r="A5" t="s">
        <v>86</v>
      </c>
      <c r="B5" t="s">
        <v>64</v>
      </c>
    </row>
    <row r="6" spans="1:2" x14ac:dyDescent="0.15">
      <c r="A6" t="s">
        <v>188</v>
      </c>
      <c r="B6" t="s">
        <v>69</v>
      </c>
    </row>
    <row r="7" spans="1:2" x14ac:dyDescent="0.15">
      <c r="A7" t="s">
        <v>84</v>
      </c>
      <c r="B7" t="s">
        <v>65</v>
      </c>
    </row>
    <row r="8" spans="1:2" x14ac:dyDescent="0.15">
      <c r="A8" t="s">
        <v>88</v>
      </c>
      <c r="B8" t="s">
        <v>70</v>
      </c>
    </row>
    <row r="9" spans="1:2" x14ac:dyDescent="0.15">
      <c r="A9" t="s">
        <v>89</v>
      </c>
      <c r="B9" t="s">
        <v>71</v>
      </c>
    </row>
    <row r="10" spans="1:2" x14ac:dyDescent="0.15">
      <c r="A10" t="s">
        <v>90</v>
      </c>
      <c r="B10" t="s">
        <v>91</v>
      </c>
    </row>
    <row r="11" spans="1:2" x14ac:dyDescent="0.15">
      <c r="A11" t="s">
        <v>92</v>
      </c>
      <c r="B11" t="s">
        <v>72</v>
      </c>
    </row>
    <row r="12" spans="1:2" x14ac:dyDescent="0.15">
      <c r="A12" t="s">
        <v>93</v>
      </c>
      <c r="B12" t="s">
        <v>73</v>
      </c>
    </row>
    <row r="13" spans="1:2" x14ac:dyDescent="0.15">
      <c r="A13" t="s">
        <v>189</v>
      </c>
      <c r="B13" t="s">
        <v>190</v>
      </c>
    </row>
    <row r="14" spans="1:2" x14ac:dyDescent="0.15">
      <c r="A14" t="s">
        <v>94</v>
      </c>
      <c r="B14" t="s">
        <v>66</v>
      </c>
    </row>
    <row r="15" spans="1:2" x14ac:dyDescent="0.15">
      <c r="A15" t="s">
        <v>211</v>
      </c>
      <c r="B15" t="s">
        <v>67</v>
      </c>
    </row>
    <row r="16" spans="1:2" x14ac:dyDescent="0.15">
      <c r="A16" t="s">
        <v>212</v>
      </c>
      <c r="B16" t="s">
        <v>74</v>
      </c>
    </row>
    <row r="20" spans="1:2" x14ac:dyDescent="0.15">
      <c r="A20" t="s">
        <v>95</v>
      </c>
      <c r="B20" t="s">
        <v>10</v>
      </c>
    </row>
    <row r="21" spans="1:2" x14ac:dyDescent="0.15">
      <c r="A21" t="s">
        <v>194</v>
      </c>
      <c r="B21" t="s">
        <v>45</v>
      </c>
    </row>
    <row r="22" spans="1:2" x14ac:dyDescent="0.15">
      <c r="A22" t="s">
        <v>193</v>
      </c>
      <c r="B22" t="s">
        <v>51</v>
      </c>
    </row>
    <row r="23" spans="1:2" x14ac:dyDescent="0.15">
      <c r="A23" t="s">
        <v>126</v>
      </c>
      <c r="B23" t="s">
        <v>126</v>
      </c>
    </row>
    <row r="24" spans="1:2" x14ac:dyDescent="0.15">
      <c r="A24" t="s">
        <v>191</v>
      </c>
      <c r="B24" t="s">
        <v>192</v>
      </c>
    </row>
    <row r="25" spans="1:2" x14ac:dyDescent="0.15">
      <c r="A25" t="s">
        <v>97</v>
      </c>
      <c r="B25" t="s">
        <v>12</v>
      </c>
    </row>
    <row r="26" spans="1:2" x14ac:dyDescent="0.15">
      <c r="A26" t="s">
        <v>98</v>
      </c>
      <c r="B26" t="s">
        <v>36</v>
      </c>
    </row>
    <row r="27" spans="1:2" x14ac:dyDescent="0.15">
      <c r="A27" t="s">
        <v>213</v>
      </c>
      <c r="B27" t="s">
        <v>54</v>
      </c>
    </row>
    <row r="28" spans="1:2" x14ac:dyDescent="0.15">
      <c r="A28" t="s">
        <v>214</v>
      </c>
      <c r="B28" t="s">
        <v>149</v>
      </c>
    </row>
    <row r="29" spans="1:2" x14ac:dyDescent="0.15">
      <c r="A29" t="s">
        <v>99</v>
      </c>
      <c r="B29" t="s">
        <v>39</v>
      </c>
    </row>
    <row r="30" spans="1:2" x14ac:dyDescent="0.15">
      <c r="A30" t="s">
        <v>110</v>
      </c>
      <c r="B30" t="s">
        <v>44</v>
      </c>
    </row>
    <row r="31" spans="1:2" x14ac:dyDescent="0.15">
      <c r="A31" t="s">
        <v>215</v>
      </c>
      <c r="B31" t="s">
        <v>43</v>
      </c>
    </row>
    <row r="32" spans="1:2" x14ac:dyDescent="0.15">
      <c r="A32" t="s">
        <v>100</v>
      </c>
      <c r="B32" t="s">
        <v>46</v>
      </c>
    </row>
    <row r="33" spans="1:2" x14ac:dyDescent="0.15">
      <c r="A33" t="s">
        <v>101</v>
      </c>
      <c r="B33" t="s">
        <v>47</v>
      </c>
    </row>
    <row r="34" spans="1:2" x14ac:dyDescent="0.15">
      <c r="A34" t="s">
        <v>109</v>
      </c>
      <c r="B34" t="s">
        <v>38</v>
      </c>
    </row>
    <row r="35" spans="1:2" x14ac:dyDescent="0.15">
      <c r="A35" t="s">
        <v>105</v>
      </c>
      <c r="B35" t="s">
        <v>61</v>
      </c>
    </row>
    <row r="36" spans="1:2" x14ac:dyDescent="0.15">
      <c r="A36" t="s">
        <v>97</v>
      </c>
      <c r="B36" t="s">
        <v>12</v>
      </c>
    </row>
    <row r="37" spans="1:2" x14ac:dyDescent="0.15">
      <c r="A37" t="s">
        <v>165</v>
      </c>
      <c r="B37" t="s">
        <v>60</v>
      </c>
    </row>
    <row r="38" spans="1:2" x14ac:dyDescent="0.15">
      <c r="A38" t="s">
        <v>102</v>
      </c>
      <c r="B38" t="s">
        <v>58</v>
      </c>
    </row>
    <row r="39" spans="1:2" x14ac:dyDescent="0.15">
      <c r="A39" t="s">
        <v>103</v>
      </c>
      <c r="B39" t="s">
        <v>59</v>
      </c>
    </row>
    <row r="40" spans="1:2" x14ac:dyDescent="0.15">
      <c r="A40" t="s">
        <v>179</v>
      </c>
      <c r="B40" t="s">
        <v>181</v>
      </c>
    </row>
    <row r="41" spans="1:2" x14ac:dyDescent="0.15">
      <c r="A41" t="s">
        <v>180</v>
      </c>
      <c r="B41" t="s">
        <v>182</v>
      </c>
    </row>
    <row r="42" spans="1:2" x14ac:dyDescent="0.15">
      <c r="A42" t="s">
        <v>106</v>
      </c>
      <c r="B42" t="s">
        <v>48</v>
      </c>
    </row>
    <row r="44" spans="1:2" x14ac:dyDescent="0.15">
      <c r="A44" t="s">
        <v>171</v>
      </c>
      <c r="B44" t="s">
        <v>172</v>
      </c>
    </row>
    <row r="45" spans="1:2" x14ac:dyDescent="0.15">
      <c r="A45" t="s">
        <v>168</v>
      </c>
      <c r="B45" t="s">
        <v>170</v>
      </c>
    </row>
    <row r="46" spans="1:2" x14ac:dyDescent="0.15">
      <c r="A46" t="s">
        <v>167</v>
      </c>
      <c r="B46" t="s">
        <v>169</v>
      </c>
    </row>
    <row r="47" spans="1:2" x14ac:dyDescent="0.15">
      <c r="A47" t="s">
        <v>186</v>
      </c>
      <c r="B47" t="s">
        <v>187</v>
      </c>
    </row>
    <row r="48" spans="1:2" x14ac:dyDescent="0.15">
      <c r="A48" t="s">
        <v>184</v>
      </c>
      <c r="B48" t="s">
        <v>185</v>
      </c>
    </row>
    <row r="50" spans="1:2" x14ac:dyDescent="0.15">
      <c r="A50" t="s">
        <v>104</v>
      </c>
      <c r="B50" t="s">
        <v>11</v>
      </c>
    </row>
    <row r="51" spans="1:2" x14ac:dyDescent="0.15">
      <c r="A51" t="s">
        <v>111</v>
      </c>
      <c r="B51" t="s">
        <v>12</v>
      </c>
    </row>
    <row r="52" spans="1:2" x14ac:dyDescent="0.15">
      <c r="A52" t="s">
        <v>126</v>
      </c>
      <c r="B52" t="s">
        <v>126</v>
      </c>
    </row>
    <row r="53" spans="1:2" x14ac:dyDescent="0.15">
      <c r="A53" t="s">
        <v>126</v>
      </c>
      <c r="B53" t="s">
        <v>126</v>
      </c>
    </row>
    <row r="54" spans="1:2" x14ac:dyDescent="0.15">
      <c r="A54" t="s">
        <v>127</v>
      </c>
      <c r="B54" t="s">
        <v>13</v>
      </c>
    </row>
    <row r="55" spans="1:2" x14ac:dyDescent="0.15">
      <c r="A55" t="s">
        <v>128</v>
      </c>
      <c r="B55" t="s">
        <v>14</v>
      </c>
    </row>
    <row r="56" spans="1:2" x14ac:dyDescent="0.15">
      <c r="A56" t="s">
        <v>129</v>
      </c>
      <c r="B56" t="s">
        <v>15</v>
      </c>
    </row>
    <row r="57" spans="1:2" x14ac:dyDescent="0.15">
      <c r="A57" t="s">
        <v>130</v>
      </c>
      <c r="B57" t="s">
        <v>16</v>
      </c>
    </row>
    <row r="58" spans="1:2" x14ac:dyDescent="0.15">
      <c r="A58" t="s">
        <v>131</v>
      </c>
      <c r="B58" t="s">
        <v>17</v>
      </c>
    </row>
    <row r="59" spans="1:2" x14ac:dyDescent="0.15">
      <c r="A59" t="s">
        <v>132</v>
      </c>
      <c r="B59" t="s">
        <v>18</v>
      </c>
    </row>
    <row r="60" spans="1:2" x14ac:dyDescent="0.15">
      <c r="A60" t="s">
        <v>133</v>
      </c>
      <c r="B60" t="s">
        <v>19</v>
      </c>
    </row>
    <row r="61" spans="1:2" x14ac:dyDescent="0.15">
      <c r="A61" t="s">
        <v>134</v>
      </c>
      <c r="B61" t="s">
        <v>20</v>
      </c>
    </row>
    <row r="62" spans="1:2" x14ac:dyDescent="0.15">
      <c r="A62" t="s">
        <v>135</v>
      </c>
      <c r="B62" t="s">
        <v>21</v>
      </c>
    </row>
    <row r="63" spans="1:2" x14ac:dyDescent="0.15">
      <c r="A63" t="s">
        <v>136</v>
      </c>
      <c r="B63" t="s">
        <v>22</v>
      </c>
    </row>
    <row r="64" spans="1:2" x14ac:dyDescent="0.15">
      <c r="A64" t="s">
        <v>137</v>
      </c>
      <c r="B64" t="s">
        <v>23</v>
      </c>
    </row>
    <row r="65" spans="1:2" x14ac:dyDescent="0.15">
      <c r="A65" t="s">
        <v>138</v>
      </c>
      <c r="B65" t="s">
        <v>24</v>
      </c>
    </row>
    <row r="66" spans="1:2" x14ac:dyDescent="0.15">
      <c r="A66" t="s">
        <v>139</v>
      </c>
      <c r="B66" t="s">
        <v>25</v>
      </c>
    </row>
    <row r="67" spans="1:2" x14ac:dyDescent="0.15">
      <c r="A67" t="s">
        <v>140</v>
      </c>
      <c r="B67" t="s">
        <v>26</v>
      </c>
    </row>
    <row r="68" spans="1:2" x14ac:dyDescent="0.15">
      <c r="A68" t="s">
        <v>141</v>
      </c>
      <c r="B68" t="s">
        <v>27</v>
      </c>
    </row>
    <row r="69" spans="1:2" x14ac:dyDescent="0.15">
      <c r="A69" t="s">
        <v>142</v>
      </c>
      <c r="B69" t="s">
        <v>28</v>
      </c>
    </row>
    <row r="70" spans="1:2" x14ac:dyDescent="0.15">
      <c r="A70" t="s">
        <v>143</v>
      </c>
      <c r="B70" t="s">
        <v>29</v>
      </c>
    </row>
    <row r="71" spans="1:2" x14ac:dyDescent="0.15">
      <c r="A71" t="s">
        <v>144</v>
      </c>
      <c r="B71" t="s">
        <v>30</v>
      </c>
    </row>
    <row r="72" spans="1:2" x14ac:dyDescent="0.15">
      <c r="A72" t="s">
        <v>145</v>
      </c>
      <c r="B72" t="s">
        <v>31</v>
      </c>
    </row>
    <row r="73" spans="1:2" x14ac:dyDescent="0.15">
      <c r="A73" t="s">
        <v>146</v>
      </c>
      <c r="B73" t="s">
        <v>32</v>
      </c>
    </row>
    <row r="74" spans="1:2" x14ac:dyDescent="0.15">
      <c r="A74" t="s">
        <v>147</v>
      </c>
      <c r="B74" t="s">
        <v>148</v>
      </c>
    </row>
    <row r="75" spans="1:2" x14ac:dyDescent="0.15">
      <c r="A75" t="s">
        <v>150</v>
      </c>
      <c r="B75" t="s">
        <v>153</v>
      </c>
    </row>
    <row r="76" spans="1:2" x14ac:dyDescent="0.15">
      <c r="A76" t="s">
        <v>152</v>
      </c>
      <c r="B76" t="s">
        <v>154</v>
      </c>
    </row>
    <row r="77" spans="1:2" x14ac:dyDescent="0.15">
      <c r="A77" t="s">
        <v>151</v>
      </c>
      <c r="B77" t="s">
        <v>155</v>
      </c>
    </row>
    <row r="78" spans="1:2" x14ac:dyDescent="0.15">
      <c r="A78" t="s">
        <v>112</v>
      </c>
      <c r="B78" t="s">
        <v>156</v>
      </c>
    </row>
    <row r="79" spans="1:2" x14ac:dyDescent="0.15">
      <c r="A79" t="s">
        <v>113</v>
      </c>
      <c r="B79" t="s">
        <v>157</v>
      </c>
    </row>
    <row r="80" spans="1:2" x14ac:dyDescent="0.15">
      <c r="A80" t="s">
        <v>114</v>
      </c>
      <c r="B80" t="s">
        <v>158</v>
      </c>
    </row>
    <row r="81" spans="1:2" x14ac:dyDescent="0.15">
      <c r="A81" t="s">
        <v>115</v>
      </c>
      <c r="B81" t="s">
        <v>33</v>
      </c>
    </row>
    <row r="82" spans="1:2" x14ac:dyDescent="0.15">
      <c r="A82" t="s">
        <v>116</v>
      </c>
      <c r="B82" t="s">
        <v>34</v>
      </c>
    </row>
    <row r="83" spans="1:2" x14ac:dyDescent="0.15">
      <c r="A83" t="s">
        <v>117</v>
      </c>
      <c r="B83" t="s">
        <v>52</v>
      </c>
    </row>
    <row r="84" spans="1:2" x14ac:dyDescent="0.15">
      <c r="A84" t="s">
        <v>118</v>
      </c>
      <c r="B84" t="s">
        <v>53</v>
      </c>
    </row>
    <row r="85" spans="1:2" x14ac:dyDescent="0.15">
      <c r="A85" t="s">
        <v>119</v>
      </c>
      <c r="B85" t="s">
        <v>35</v>
      </c>
    </row>
    <row r="86" spans="1:2" x14ac:dyDescent="0.15">
      <c r="A86" t="s">
        <v>98</v>
      </c>
      <c r="B86" t="s">
        <v>36</v>
      </c>
    </row>
    <row r="87" spans="1:2" x14ac:dyDescent="0.15">
      <c r="A87" t="s">
        <v>213</v>
      </c>
      <c r="B87" t="s">
        <v>54</v>
      </c>
    </row>
    <row r="88" spans="1:2" x14ac:dyDescent="0.15">
      <c r="A88" t="s">
        <v>216</v>
      </c>
      <c r="B88" t="s">
        <v>55</v>
      </c>
    </row>
    <row r="89" spans="1:2" x14ac:dyDescent="0.15">
      <c r="A89" t="s">
        <v>217</v>
      </c>
      <c r="B89" t="s">
        <v>56</v>
      </c>
    </row>
    <row r="90" spans="1:2" x14ac:dyDescent="0.15">
      <c r="A90" t="s">
        <v>120</v>
      </c>
      <c r="B90" t="s">
        <v>37</v>
      </c>
    </row>
    <row r="91" spans="1:2" x14ac:dyDescent="0.15">
      <c r="A91" t="s">
        <v>163</v>
      </c>
      <c r="B91" t="s">
        <v>164</v>
      </c>
    </row>
    <row r="92" spans="1:2" x14ac:dyDescent="0.15">
      <c r="A92" t="s">
        <v>125</v>
      </c>
      <c r="B92" t="s">
        <v>42</v>
      </c>
    </row>
    <row r="93" spans="1:2" x14ac:dyDescent="0.15">
      <c r="A93" t="s">
        <v>121</v>
      </c>
      <c r="B93" t="s">
        <v>57</v>
      </c>
    </row>
    <row r="94" spans="1:2" x14ac:dyDescent="0.15">
      <c r="A94" t="s">
        <v>0</v>
      </c>
      <c r="B94" t="s">
        <v>0</v>
      </c>
    </row>
    <row r="95" spans="1:2" x14ac:dyDescent="0.15">
      <c r="A95" t="s">
        <v>159</v>
      </c>
      <c r="B95" t="s">
        <v>160</v>
      </c>
    </row>
    <row r="96" spans="1:2" x14ac:dyDescent="0.15">
      <c r="A96" t="s">
        <v>99</v>
      </c>
      <c r="B96" t="s">
        <v>39</v>
      </c>
    </row>
    <row r="97" spans="1:2" x14ac:dyDescent="0.15">
      <c r="A97" t="s">
        <v>96</v>
      </c>
      <c r="B97" t="s">
        <v>45</v>
      </c>
    </row>
    <row r="98" spans="1:2" x14ac:dyDescent="0.15">
      <c r="A98" t="s">
        <v>122</v>
      </c>
      <c r="B98" t="s">
        <v>40</v>
      </c>
    </row>
    <row r="99" spans="1:2" x14ac:dyDescent="0.15">
      <c r="A99" t="s">
        <v>123</v>
      </c>
      <c r="B99" t="s">
        <v>41</v>
      </c>
    </row>
    <row r="100" spans="1:2" x14ac:dyDescent="0.15">
      <c r="A100" t="s">
        <v>124</v>
      </c>
      <c r="B100" t="s">
        <v>44</v>
      </c>
    </row>
    <row r="101" spans="1:2" x14ac:dyDescent="0.15">
      <c r="A101" t="s">
        <v>215</v>
      </c>
      <c r="B101" t="s">
        <v>43</v>
      </c>
    </row>
    <row r="102" spans="1:2" x14ac:dyDescent="0.15">
      <c r="A102" t="s">
        <v>161</v>
      </c>
      <c r="B102" t="s">
        <v>46</v>
      </c>
    </row>
    <row r="103" spans="1:2" x14ac:dyDescent="0.15">
      <c r="A103" t="s">
        <v>162</v>
      </c>
      <c r="B103" t="s">
        <v>47</v>
      </c>
    </row>
    <row r="104" spans="1:2" x14ac:dyDescent="0.15">
      <c r="A104" t="s">
        <v>106</v>
      </c>
      <c r="B104" t="s">
        <v>48</v>
      </c>
    </row>
    <row r="105" spans="1:2" x14ac:dyDescent="0.15">
      <c r="A105" t="s">
        <v>107</v>
      </c>
      <c r="B105" t="s">
        <v>49</v>
      </c>
    </row>
    <row r="106" spans="1:2" x14ac:dyDescent="0.15">
      <c r="A106" t="s">
        <v>108</v>
      </c>
      <c r="B106" t="s">
        <v>50</v>
      </c>
    </row>
    <row r="107" spans="1:2" x14ac:dyDescent="0.15">
      <c r="A107" t="s">
        <v>195</v>
      </c>
      <c r="B107" t="s">
        <v>198</v>
      </c>
    </row>
    <row r="108" spans="1:2" x14ac:dyDescent="0.15">
      <c r="A108" t="s">
        <v>199</v>
      </c>
      <c r="B108" t="s">
        <v>196</v>
      </c>
    </row>
    <row r="109" spans="1:2" x14ac:dyDescent="0.15">
      <c r="A109" t="s">
        <v>200</v>
      </c>
      <c r="B109" t="s">
        <v>197</v>
      </c>
    </row>
    <row r="111" spans="1:2" x14ac:dyDescent="0.15">
      <c r="A111" t="s">
        <v>201</v>
      </c>
      <c r="B111" t="s">
        <v>203</v>
      </c>
    </row>
    <row r="112" spans="1:2" x14ac:dyDescent="0.15">
      <c r="A112" t="s">
        <v>207</v>
      </c>
      <c r="B112" t="s">
        <v>208</v>
      </c>
    </row>
    <row r="113" spans="1:2" x14ac:dyDescent="0.15">
      <c r="A113" t="s">
        <v>202</v>
      </c>
      <c r="B113" t="s">
        <v>204</v>
      </c>
    </row>
    <row r="114" spans="1:2" x14ac:dyDescent="0.15">
      <c r="A114" t="s">
        <v>207</v>
      </c>
      <c r="B114" t="s">
        <v>208</v>
      </c>
    </row>
    <row r="120" spans="1:2" ht="33.75" x14ac:dyDescent="0.15">
      <c r="A120" s="43" t="s">
        <v>205</v>
      </c>
      <c r="B120" s="31" t="s">
        <v>173</v>
      </c>
    </row>
    <row r="121" spans="1:2" ht="33.75" x14ac:dyDescent="0.15">
      <c r="A121" s="43" t="s">
        <v>206</v>
      </c>
      <c r="B121" s="31" t="s">
        <v>174</v>
      </c>
    </row>
    <row r="122" spans="1:2" x14ac:dyDescent="0.15">
      <c r="A122" t="s">
        <v>218</v>
      </c>
      <c r="B122" t="s">
        <v>209</v>
      </c>
    </row>
  </sheetData>
  <sheetProtection password="D828"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tabColor theme="9" tint="0.39997558519241921"/>
  </sheetPr>
  <dimension ref="A1:T61"/>
  <sheetViews>
    <sheetView topLeftCell="B1" zoomScaleNormal="100" workbookViewId="0">
      <selection activeCell="B37" sqref="B37"/>
    </sheetView>
  </sheetViews>
  <sheetFormatPr baseColWidth="10" defaultRowHeight="11.25" x14ac:dyDescent="0.15"/>
  <cols>
    <col min="1" max="1" width="2.875" hidden="1" customWidth="1"/>
    <col min="2" max="2" width="38.125" customWidth="1"/>
    <col min="3" max="9" width="12.875" customWidth="1"/>
    <col min="10" max="10" width="2.5" customWidth="1"/>
    <col min="11" max="11" width="16.375" customWidth="1"/>
    <col min="20" max="20" width="2.25" hidden="1" customWidth="1"/>
  </cols>
  <sheetData>
    <row r="1" spans="1:20" s="2" customFormat="1" ht="12" thickBot="1" x14ac:dyDescent="0.2">
      <c r="B1" s="2" t="str">
        <f ca="1">INDIRECT(ADDRESS(ROW(B1)+19,$T$1,1,,"Texte"))</f>
        <v>Profil d'exactitude</v>
      </c>
      <c r="T1" s="2">
        <f>'Mode d''emploi'!T1</f>
        <v>1</v>
      </c>
    </row>
    <row r="2" spans="1:20" ht="12" thickBot="1" x14ac:dyDescent="0.2">
      <c r="A2">
        <v>48</v>
      </c>
      <c r="B2" s="41" t="str">
        <f t="shared" ref="B2" ca="1" si="0">INDIRECT(ADDRESS(A2,1,,,$C$5))</f>
        <v>Probabilité tolérance (bêta)</v>
      </c>
      <c r="C2" s="42">
        <v>0.8</v>
      </c>
    </row>
    <row r="3" spans="1:20" ht="12" thickBot="1" x14ac:dyDescent="0.2">
      <c r="B3" s="41" t="str">
        <f ca="1">INDIRECT(ADDRESS(ROW(B3)+19,$T$1,1,,"Texte"))</f>
        <v>Entrer la limite d'acceptabilité en %</v>
      </c>
      <c r="C3" s="42">
        <v>0.3</v>
      </c>
    </row>
    <row r="5" spans="1:20" s="2" customFormat="1" x14ac:dyDescent="0.15">
      <c r="A5" s="2">
        <v>1</v>
      </c>
      <c r="B5" s="32" t="str">
        <f ca="1">INDIRECT(ADDRESS(A5,1,,,$C$5))</f>
        <v>Niveau</v>
      </c>
      <c r="C5" s="32" t="s">
        <v>3</v>
      </c>
      <c r="D5" s="32" t="s">
        <v>4</v>
      </c>
      <c r="E5" s="32" t="s">
        <v>5</v>
      </c>
      <c r="F5" s="32" t="s">
        <v>6</v>
      </c>
      <c r="G5" s="32" t="s">
        <v>7</v>
      </c>
      <c r="H5" s="32" t="s">
        <v>8</v>
      </c>
      <c r="I5" s="32" t="s">
        <v>9</v>
      </c>
    </row>
    <row r="6" spans="1:20" s="5" customFormat="1" ht="12" x14ac:dyDescent="0.2">
      <c r="A6">
        <v>2</v>
      </c>
      <c r="B6" s="10" t="str">
        <f ca="1">INDIRECT(ADDRESS(A6,1,,,$C$5))</f>
        <v>Valeur de référence</v>
      </c>
      <c r="C6" s="27">
        <f t="shared" ref="C6:E6" ca="1" si="1">IF(ISBLANK(INDIRECT(ADDRESS($A6,2,,,C$5))),"",INDIRECT(ADDRESS($A6,2,,,C$5)))</f>
        <v>1.6</v>
      </c>
      <c r="D6" s="27">
        <f t="shared" ca="1" si="1"/>
        <v>3.6</v>
      </c>
      <c r="E6" s="27">
        <f t="shared" ca="1" si="1"/>
        <v>5.6</v>
      </c>
      <c r="F6" s="27">
        <f ca="1">IF(ISBLANK(INDIRECT(ADDRESS($A6,2,,,F$5))),"",INDIRECT(ADDRESS($A6,2,,,F$5)))</f>
        <v>7.6</v>
      </c>
      <c r="G6" s="15">
        <f t="shared" ref="G6:I6" ca="1" si="2">IF(ISBLANK(INDIRECT(ADDRESS($A6,2,,,G$5))),"",INDIRECT(ADDRESS($A6,2,,,G$5)))</f>
        <v>9.6</v>
      </c>
      <c r="H6" s="15">
        <f t="shared" ca="1" si="2"/>
        <v>11.6</v>
      </c>
      <c r="I6" s="15">
        <f t="shared" ca="1" si="2"/>
        <v>21.6</v>
      </c>
      <c r="K6"/>
      <c r="L6"/>
      <c r="M6"/>
      <c r="N6"/>
    </row>
    <row r="7" spans="1:20" x14ac:dyDescent="0.15">
      <c r="A7">
        <v>37</v>
      </c>
      <c r="B7" s="10" t="str">
        <f t="shared" ref="B7:B15" ca="1" si="3">INDIRECT(ADDRESS(A7,1,,,$C$5))</f>
        <v>Moyenne niveau</v>
      </c>
      <c r="C7" s="15">
        <f t="shared" ref="C7:F15" ca="1" si="4">IF(ISERROR(INDIRECT(ADDRESS($A7,2,,,C$5))),"",INDIRECT(ADDRESS($A7,2,,,C$5)))</f>
        <v>1.9999999999999998</v>
      </c>
      <c r="D7" s="15">
        <f t="shared" ca="1" si="4"/>
        <v>3.9749999999999996</v>
      </c>
      <c r="E7" s="15">
        <f ca="1">IF(ISERROR(INDIRECT(ADDRESS($A7,2,,,E$5))),"",INDIRECT(ADDRESS($A7,2,,,E$5)))</f>
        <v>5.9249999999999998</v>
      </c>
      <c r="F7" s="15">
        <f ca="1">IF(ISERROR(INDIRECT(ADDRESS($A7,2,,,F$5))),"",INDIRECT(ADDRESS($A7,2,,,F$5)))</f>
        <v>8.2250000000000014</v>
      </c>
      <c r="G7" s="15">
        <f t="shared" ref="G7:I15" ca="1" si="5">IF(ISERROR(INDIRECT(ADDRESS($A7,2,,,G$5))),"",INDIRECT(ADDRESS($A7,2,,,G$5)))</f>
        <v>9.9749999999999996</v>
      </c>
      <c r="H7" s="15">
        <f t="shared" ca="1" si="5"/>
        <v>11.974999999999998</v>
      </c>
      <c r="I7" s="15">
        <f t="shared" ca="1" si="5"/>
        <v>22.024999999999999</v>
      </c>
    </row>
    <row r="8" spans="1:20" x14ac:dyDescent="0.15">
      <c r="A8">
        <v>38</v>
      </c>
      <c r="B8" s="10" t="str">
        <f t="shared" ca="1" si="3"/>
        <v>Écart-type de répétabilité (sr)</v>
      </c>
      <c r="C8" s="15">
        <f t="shared" ca="1" si="4"/>
        <v>0.35355339059327362</v>
      </c>
      <c r="D8" s="15">
        <f t="shared" ca="1" si="4"/>
        <v>0.33541019662496857</v>
      </c>
      <c r="E8" s="15">
        <f t="shared" ca="1" si="4"/>
        <v>0.44999999999999973</v>
      </c>
      <c r="F8" s="15">
        <f t="shared" ca="1" si="4"/>
        <v>0.60207972893961481</v>
      </c>
      <c r="G8" s="15">
        <f t="shared" ca="1" si="5"/>
        <v>0.64999999999999969</v>
      </c>
      <c r="H8" s="15">
        <f t="shared" ca="1" si="5"/>
        <v>0.71589105316381751</v>
      </c>
      <c r="I8" s="15">
        <f t="shared" ca="1" si="5"/>
        <v>1.0404326023342412</v>
      </c>
    </row>
    <row r="9" spans="1:20" x14ac:dyDescent="0.15">
      <c r="A9">
        <v>40</v>
      </c>
      <c r="B9" s="10" t="str">
        <f t="shared" ca="1" si="3"/>
        <v>Écart-type de fidélité (sFI)</v>
      </c>
      <c r="C9" s="15">
        <f t="shared" ca="1" si="4"/>
        <v>0.35355339059327362</v>
      </c>
      <c r="D9" s="15">
        <f t="shared" ca="1" si="4"/>
        <v>0.33541019662496857</v>
      </c>
      <c r="E9" s="15">
        <f t="shared" ca="1" si="4"/>
        <v>0.44999999999999973</v>
      </c>
      <c r="F9" s="15">
        <f t="shared" ca="1" si="4"/>
        <v>0.60207972893961481</v>
      </c>
      <c r="G9" s="15">
        <f t="shared" ca="1" si="5"/>
        <v>0.64999999999999969</v>
      </c>
      <c r="H9" s="15">
        <f t="shared" ca="1" si="5"/>
        <v>0.71589105316381751</v>
      </c>
      <c r="I9" s="15">
        <f t="shared" ca="1" si="5"/>
        <v>1.0404326023342412</v>
      </c>
    </row>
    <row r="10" spans="1:20" x14ac:dyDescent="0.15">
      <c r="A10">
        <v>47</v>
      </c>
      <c r="B10" s="10" t="str">
        <f t="shared" ca="1" si="3"/>
        <v>Nombre de degrés liberté</v>
      </c>
      <c r="C10" s="15">
        <f t="shared" ca="1" si="4"/>
        <v>2.6666666666666665</v>
      </c>
      <c r="D10" s="15">
        <f t="shared" ca="1" si="4"/>
        <v>2.6666666666666665</v>
      </c>
      <c r="E10" s="15">
        <f t="shared" ca="1" si="4"/>
        <v>2.6666666666666665</v>
      </c>
      <c r="F10" s="15">
        <f t="shared" ca="1" si="4"/>
        <v>2.6666666666666665</v>
      </c>
      <c r="G10" s="15">
        <f t="shared" ca="1" si="5"/>
        <v>2.6666666666666665</v>
      </c>
      <c r="H10" s="15">
        <f t="shared" ca="1" si="5"/>
        <v>2.6666666666666665</v>
      </c>
      <c r="I10" s="15">
        <f t="shared" ca="1" si="5"/>
        <v>2.6666666666666665</v>
      </c>
    </row>
    <row r="11" spans="1:20" x14ac:dyDescent="0.15">
      <c r="A11">
        <v>51</v>
      </c>
      <c r="B11" s="10" t="str">
        <f t="shared" ca="1" si="3"/>
        <v>Facteur de couverture (ktol)</v>
      </c>
      <c r="C11" s="15">
        <f t="shared" ca="1" si="4"/>
        <v>1.7203689301855156</v>
      </c>
      <c r="D11" s="15">
        <f t="shared" ca="1" si="4"/>
        <v>1.7203689301855156</v>
      </c>
      <c r="E11" s="15">
        <f t="shared" ca="1" si="4"/>
        <v>1.7203689301855156</v>
      </c>
      <c r="F11" s="15">
        <f t="shared" ca="1" si="4"/>
        <v>1.7203689301855156</v>
      </c>
      <c r="G11" s="15">
        <f t="shared" ca="1" si="5"/>
        <v>1.7203689301855156</v>
      </c>
      <c r="H11" s="15">
        <f t="shared" ca="1" si="5"/>
        <v>1.7203689301855156</v>
      </c>
      <c r="I11" s="15">
        <f t="shared" ca="1" si="5"/>
        <v>1.7203689301855156</v>
      </c>
    </row>
    <row r="12" spans="1:20" x14ac:dyDescent="0.15">
      <c r="A12">
        <v>52</v>
      </c>
      <c r="B12" s="10" t="str">
        <f t="shared" ca="1" si="3"/>
        <v>Écart-type du IT (sIT)</v>
      </c>
      <c r="C12" s="15">
        <f t="shared" ca="1" si="4"/>
        <v>0.39528470752104727</v>
      </c>
      <c r="D12" s="15">
        <f t="shared" ca="1" si="4"/>
        <v>0.37500000000000017</v>
      </c>
      <c r="E12" s="15">
        <f t="shared" ca="1" si="4"/>
        <v>0.50311529493745244</v>
      </c>
      <c r="F12" s="15">
        <f t="shared" ca="1" si="4"/>
        <v>0.67314560089181308</v>
      </c>
      <c r="G12" s="15">
        <f t="shared" ca="1" si="5"/>
        <v>0.72672209268743138</v>
      </c>
      <c r="H12" s="15">
        <f t="shared" ca="1" si="5"/>
        <v>0.80039052967910596</v>
      </c>
      <c r="I12" s="15">
        <f t="shared" ca="1" si="5"/>
        <v>1.1632390124131848</v>
      </c>
    </row>
    <row r="13" spans="1:20" x14ac:dyDescent="0.15">
      <c r="A13">
        <v>53</v>
      </c>
      <c r="B13" s="10" t="str">
        <f t="shared" ca="1" si="3"/>
        <v>Valeur basse intervalle tolérance</v>
      </c>
      <c r="C13" s="15">
        <f t="shared" ca="1" si="4"/>
        <v>1.3199644706033213</v>
      </c>
      <c r="D13" s="15">
        <f t="shared" ca="1" si="4"/>
        <v>3.3298616511804311</v>
      </c>
      <c r="E13" s="15">
        <f t="shared" ca="1" si="4"/>
        <v>5.059456078288485</v>
      </c>
      <c r="F13" s="15">
        <f t="shared" ca="1" si="4"/>
        <v>7.0669412227346671</v>
      </c>
      <c r="G13" s="15">
        <f t="shared" ca="1" si="5"/>
        <v>8.7247698908611433</v>
      </c>
      <c r="H13" s="15">
        <f t="shared" ca="1" si="5"/>
        <v>10.598033000725337</v>
      </c>
      <c r="I13" s="15">
        <f t="shared" ca="1" si="5"/>
        <v>20.023799744664672</v>
      </c>
    </row>
    <row r="14" spans="1:20" s="5" customFormat="1" ht="12" x14ac:dyDescent="0.2">
      <c r="A14">
        <v>54</v>
      </c>
      <c r="B14" s="10" t="str">
        <f t="shared" ca="1" si="3"/>
        <v>Valeur haute intervalle tolérance</v>
      </c>
      <c r="C14" s="15">
        <f t="shared" ca="1" si="4"/>
        <v>2.6800355293966782</v>
      </c>
      <c r="D14" s="15">
        <f t="shared" ca="1" si="4"/>
        <v>4.6201383488195686</v>
      </c>
      <c r="E14" s="15">
        <f t="shared" ca="1" si="4"/>
        <v>6.7905439217115147</v>
      </c>
      <c r="F14" s="15">
        <f t="shared" ca="1" si="4"/>
        <v>9.3830587772653367</v>
      </c>
      <c r="G14" s="15">
        <f t="shared" ca="1" si="5"/>
        <v>11.225230109138856</v>
      </c>
      <c r="H14" s="15">
        <f t="shared" ca="1" si="5"/>
        <v>13.351966999274659</v>
      </c>
      <c r="I14" s="15">
        <f t="shared" ca="1" si="5"/>
        <v>24.026200255335326</v>
      </c>
      <c r="K14"/>
      <c r="L14"/>
      <c r="M14"/>
      <c r="N14"/>
    </row>
    <row r="15" spans="1:20" s="5" customFormat="1" ht="12" x14ac:dyDescent="0.2">
      <c r="A15">
        <v>42</v>
      </c>
      <c r="B15" s="10" t="str">
        <f t="shared" ca="1" si="3"/>
        <v>Biais relatif (%)</v>
      </c>
      <c r="C15" s="28">
        <f t="shared" ca="1" si="4"/>
        <v>0.24999999999999978</v>
      </c>
      <c r="D15" s="28">
        <f t="shared" ca="1" si="4"/>
        <v>0.10416666666666652</v>
      </c>
      <c r="E15" s="28">
        <f t="shared" ca="1" si="4"/>
        <v>5.8035714285714413E-2</v>
      </c>
      <c r="F15" s="15">
        <f t="shared" ca="1" si="4"/>
        <v>8.2236842105263497E-2</v>
      </c>
      <c r="G15" s="15">
        <f t="shared" ca="1" si="5"/>
        <v>3.90625E-2</v>
      </c>
      <c r="H15" s="15">
        <f t="shared" ca="1" si="5"/>
        <v>3.2327586206896353E-2</v>
      </c>
      <c r="I15" s="15">
        <f t="shared" ca="1" si="5"/>
        <v>1.9675925925925819E-2</v>
      </c>
      <c r="K15"/>
      <c r="L15"/>
      <c r="M15"/>
      <c r="N15"/>
    </row>
    <row r="16" spans="1:20" s="2" customFormat="1" x14ac:dyDescent="0.15">
      <c r="B16" s="2" t="str">
        <f ca="1">INDIRECT(ADDRESS(ROW(B16)+19,$T$1,1,,"Texte"))</f>
        <v>Exactitude (%)</v>
      </c>
    </row>
    <row r="17" spans="1:14" ht="11.25" customHeight="1" x14ac:dyDescent="0.15">
      <c r="B17" s="20" t="str">
        <f ca="1">B6</f>
        <v>Valeur de référence</v>
      </c>
      <c r="C17" s="20">
        <f t="shared" ref="C17:I17" ca="1" si="6">C6</f>
        <v>1.6</v>
      </c>
      <c r="D17" s="20">
        <f t="shared" ca="1" si="6"/>
        <v>3.6</v>
      </c>
      <c r="E17" s="20">
        <f t="shared" ca="1" si="6"/>
        <v>5.6</v>
      </c>
      <c r="F17" s="20">
        <f t="shared" ca="1" si="6"/>
        <v>7.6</v>
      </c>
      <c r="G17" s="20">
        <f t="shared" ca="1" si="6"/>
        <v>9.6</v>
      </c>
      <c r="H17" s="20">
        <f t="shared" ca="1" si="6"/>
        <v>11.6</v>
      </c>
      <c r="I17" s="20">
        <f t="shared" ca="1" si="6"/>
        <v>21.6</v>
      </c>
      <c r="K17" s="238" t="str">
        <f ca="1">INDIRECT(ADDRESS(120,$T$1,1,,"Texte"))</f>
        <v xml:space="preserve">Graphique du profil d'exactitude : sélectionner les cellules bleues non vides
</v>
      </c>
    </row>
    <row r="18" spans="1:14" s="5" customFormat="1" ht="12" x14ac:dyDescent="0.2">
      <c r="A18"/>
      <c r="B18" s="21" t="str">
        <f t="shared" ref="B18:B23" ca="1" si="7">INDIRECT(ADDRESS(ROW(B18)+19,$T$1,1,,"Texte"))</f>
        <v>Taux de recouvrement (%)</v>
      </c>
      <c r="C18" s="21">
        <f ca="1">IF(C$6="","",C7/C$6)</f>
        <v>1.2499999999999998</v>
      </c>
      <c r="D18" s="21">
        <f t="shared" ref="D18:I18" ca="1" si="8">IF(D$6="","",D7/D$6)</f>
        <v>1.1041666666666665</v>
      </c>
      <c r="E18" s="21">
        <f t="shared" ca="1" si="8"/>
        <v>1.0580357142857144</v>
      </c>
      <c r="F18" s="21">
        <f t="shared" ca="1" si="8"/>
        <v>1.0822368421052635</v>
      </c>
      <c r="G18" s="21">
        <f t="shared" ca="1" si="8"/>
        <v>1.0390625</v>
      </c>
      <c r="H18" s="21">
        <f t="shared" ca="1" si="8"/>
        <v>1.0323275862068964</v>
      </c>
      <c r="I18" s="21">
        <f t="shared" ca="1" si="8"/>
        <v>1.0196759259259258</v>
      </c>
      <c r="K18" s="239"/>
      <c r="L18"/>
      <c r="M18"/>
      <c r="N18"/>
    </row>
    <row r="19" spans="1:14" s="5" customFormat="1" ht="12" x14ac:dyDescent="0.2">
      <c r="A19"/>
      <c r="B19" s="21" t="str">
        <f t="shared" ca="1" si="7"/>
        <v>Limite basse tolérance (%)</v>
      </c>
      <c r="C19" s="21">
        <f ca="1">IF(C$6="","",C13/C$6)</f>
        <v>0.82497779412707584</v>
      </c>
      <c r="D19" s="21">
        <f t="shared" ref="D19:I19" ca="1" si="9">IF(D$6="","",D13/D$6)</f>
        <v>0.9249615697723419</v>
      </c>
      <c r="E19" s="21">
        <f t="shared" ca="1" si="9"/>
        <v>0.90347429969437243</v>
      </c>
      <c r="F19" s="21">
        <f t="shared" ca="1" si="9"/>
        <v>0.92986068720192994</v>
      </c>
      <c r="G19" s="21">
        <f t="shared" ca="1" si="9"/>
        <v>0.90883019696470246</v>
      </c>
      <c r="H19" s="21">
        <f t="shared" ca="1" si="9"/>
        <v>0.91362353454528766</v>
      </c>
      <c r="I19" s="21">
        <f t="shared" ca="1" si="9"/>
        <v>0.92702776595669767</v>
      </c>
      <c r="K19" s="239"/>
      <c r="L19"/>
      <c r="M19"/>
      <c r="N19"/>
    </row>
    <row r="20" spans="1:14" s="13" customFormat="1" ht="12" x14ac:dyDescent="0.2">
      <c r="A20"/>
      <c r="B20" s="21" t="str">
        <f t="shared" ca="1" si="7"/>
        <v>Limite haute tolérance (%)</v>
      </c>
      <c r="C20" s="21">
        <f ca="1">IF(C$6="","",C14/C$6)</f>
        <v>1.6750222058729238</v>
      </c>
      <c r="D20" s="21">
        <f t="shared" ref="D20:I20" ca="1" si="10">IF(D$6="","",D14/D$6)</f>
        <v>1.2833717635609914</v>
      </c>
      <c r="E20" s="21">
        <f t="shared" ca="1" si="10"/>
        <v>1.2125971288770563</v>
      </c>
      <c r="F20" s="21">
        <f t="shared" ca="1" si="10"/>
        <v>1.2346129970085971</v>
      </c>
      <c r="G20" s="21">
        <f t="shared" ca="1" si="10"/>
        <v>1.1692948030352976</v>
      </c>
      <c r="H20" s="21">
        <f t="shared" ca="1" si="10"/>
        <v>1.151031637868505</v>
      </c>
      <c r="I20" s="21">
        <f t="shared" ca="1" si="10"/>
        <v>1.112324085895154</v>
      </c>
      <c r="K20" s="239"/>
      <c r="L20"/>
      <c r="M20"/>
      <c r="N20"/>
    </row>
    <row r="21" spans="1:14" s="5" customFormat="1" ht="12" x14ac:dyDescent="0.2">
      <c r="A21"/>
      <c r="B21" s="21" t="str">
        <f t="shared" ca="1" si="7"/>
        <v xml:space="preserve">Limite d'acceptabilité basse </v>
      </c>
      <c r="C21" s="21">
        <f ca="1">IF(C$6="","",1-$C$3)</f>
        <v>0.7</v>
      </c>
      <c r="D21" s="21">
        <f t="shared" ref="D21:I21" ca="1" si="11">IF(D$6="","",1-$C$3)</f>
        <v>0.7</v>
      </c>
      <c r="E21" s="21">
        <f t="shared" ca="1" si="11"/>
        <v>0.7</v>
      </c>
      <c r="F21" s="21">
        <f t="shared" ca="1" si="11"/>
        <v>0.7</v>
      </c>
      <c r="G21" s="21">
        <f t="shared" ca="1" si="11"/>
        <v>0.7</v>
      </c>
      <c r="H21" s="21">
        <f t="shared" ca="1" si="11"/>
        <v>0.7</v>
      </c>
      <c r="I21" s="21">
        <f t="shared" ca="1" si="11"/>
        <v>0.7</v>
      </c>
      <c r="K21" s="239"/>
      <c r="L21"/>
      <c r="M21"/>
      <c r="N21"/>
    </row>
    <row r="22" spans="1:14" s="5" customFormat="1" ht="12" x14ac:dyDescent="0.2">
      <c r="A22"/>
      <c r="B22" s="21" t="str">
        <f t="shared" ca="1" si="7"/>
        <v>Limite d'acceptabilité haute</v>
      </c>
      <c r="C22" s="21">
        <f ca="1">IF(C$6="","",1+$C$3)</f>
        <v>1.3</v>
      </c>
      <c r="D22" s="21">
        <f t="shared" ref="D22:I22" ca="1" si="12">IF(D$6="","",1+$C$3)</f>
        <v>1.3</v>
      </c>
      <c r="E22" s="21">
        <f t="shared" ca="1" si="12"/>
        <v>1.3</v>
      </c>
      <c r="F22" s="21">
        <f t="shared" ca="1" si="12"/>
        <v>1.3</v>
      </c>
      <c r="G22" s="21">
        <f t="shared" ca="1" si="12"/>
        <v>1.3</v>
      </c>
      <c r="H22" s="21">
        <f t="shared" ca="1" si="12"/>
        <v>1.3</v>
      </c>
      <c r="I22" s="21">
        <f t="shared" ca="1" si="12"/>
        <v>1.3</v>
      </c>
      <c r="K22" s="240"/>
      <c r="L22"/>
      <c r="M22"/>
      <c r="N22"/>
    </row>
    <row r="23" spans="1:14" s="2" customFormat="1" x14ac:dyDescent="0.15">
      <c r="B23" s="2" t="str">
        <f t="shared" ca="1" si="7"/>
        <v>Incertitude</v>
      </c>
    </row>
    <row r="24" spans="1:14" ht="11.25" customHeight="1" x14ac:dyDescent="0.15">
      <c r="B24" s="17" t="str">
        <f ca="1">B6</f>
        <v>Valeur de référence</v>
      </c>
      <c r="C24" s="22">
        <f t="shared" ref="C24:I24" ca="1" si="13">C6</f>
        <v>1.6</v>
      </c>
      <c r="D24" s="22">
        <f t="shared" ca="1" si="13"/>
        <v>3.6</v>
      </c>
      <c r="E24" s="22">
        <f t="shared" ca="1" si="13"/>
        <v>5.6</v>
      </c>
      <c r="F24" s="22">
        <f t="shared" ca="1" si="13"/>
        <v>7.6</v>
      </c>
      <c r="G24" s="22">
        <f t="shared" ca="1" si="13"/>
        <v>9.6</v>
      </c>
      <c r="H24" s="22">
        <f t="shared" ca="1" si="13"/>
        <v>11.6</v>
      </c>
      <c r="I24" s="22">
        <f t="shared" ca="1" si="13"/>
        <v>21.6</v>
      </c>
      <c r="K24" s="241" t="str">
        <f ca="1">INDIRECT(ADDRESS(121,$T$1,1,,"Texte"))</f>
        <v xml:space="preserve">Graphique du profil d'incertitude : sélectionner les cellules vertes non vides
</v>
      </c>
    </row>
    <row r="25" spans="1:14" s="5" customFormat="1" ht="12" customHeight="1" x14ac:dyDescent="0.2">
      <c r="A25">
        <v>56</v>
      </c>
      <c r="B25" s="17" t="str">
        <f t="shared" ref="B25:B29" ca="1" si="14">INDIRECT(ADDRESS(A25,1,,,$C$5))</f>
        <v>Incertitude-type composée</v>
      </c>
      <c r="C25" s="18">
        <f t="shared" ref="C25:F29" ca="1" si="15">IF(ISERROR(INDIRECT(ADDRESS($A25,2,,,C$5))),"",INDIRECT(ADDRESS($A25,2,,,C$5)))</f>
        <v>0.39528470752104727</v>
      </c>
      <c r="D25" s="18">
        <f t="shared" ca="1" si="15"/>
        <v>0.37500000000000017</v>
      </c>
      <c r="E25" s="18">
        <f t="shared" ca="1" si="15"/>
        <v>0.50311529493745244</v>
      </c>
      <c r="F25" s="18">
        <f ca="1">IF(ISERROR(INDIRECT(ADDRESS($A25,2,,,F$5))),"",INDIRECT(ADDRESS($A25,2,,,F$5)))</f>
        <v>0.67314560089181308</v>
      </c>
      <c r="G25" s="18">
        <f t="shared" ref="G25:I29" ca="1" si="16">IF(ISERROR(INDIRECT(ADDRESS($A25,2,,,G$5))),"",INDIRECT(ADDRESS($A25,2,,,G$5)))</f>
        <v>0.72672209268743138</v>
      </c>
      <c r="H25" s="18">
        <f t="shared" ca="1" si="16"/>
        <v>0.80039052967910596</v>
      </c>
      <c r="I25" s="18">
        <f t="shared" ca="1" si="16"/>
        <v>1.1632390124131848</v>
      </c>
      <c r="K25" s="242"/>
      <c r="L25"/>
      <c r="M25"/>
      <c r="N25"/>
    </row>
    <row r="26" spans="1:14" s="5" customFormat="1" ht="12" x14ac:dyDescent="0.2">
      <c r="A26">
        <v>57</v>
      </c>
      <c r="B26" s="17" t="str">
        <f t="shared" ca="1" si="14"/>
        <v>Incertitude étendue</v>
      </c>
      <c r="C26" s="18">
        <f t="shared" ca="1" si="15"/>
        <v>0.79056941504209455</v>
      </c>
      <c r="D26" s="18">
        <f t="shared" ca="1" si="15"/>
        <v>0.75000000000000033</v>
      </c>
      <c r="E26" s="18">
        <f t="shared" ca="1" si="15"/>
        <v>1.0062305898749049</v>
      </c>
      <c r="F26" s="18">
        <f t="shared" ca="1" si="15"/>
        <v>1.3462912017836262</v>
      </c>
      <c r="G26" s="18">
        <f t="shared" ca="1" si="16"/>
        <v>1.4534441853748628</v>
      </c>
      <c r="H26" s="18">
        <f t="shared" ca="1" si="16"/>
        <v>1.6007810593582119</v>
      </c>
      <c r="I26" s="18">
        <f t="shared" ca="1" si="16"/>
        <v>2.3264780248263697</v>
      </c>
      <c r="K26" s="242"/>
      <c r="L26"/>
      <c r="M26"/>
      <c r="N26"/>
    </row>
    <row r="27" spans="1:14" s="5" customFormat="1" ht="12" x14ac:dyDescent="0.2">
      <c r="A27">
        <v>58</v>
      </c>
      <c r="B27" s="17" t="str">
        <f t="shared" ca="1" si="14"/>
        <v>Incertitude relative (%)</v>
      </c>
      <c r="C27" s="19">
        <f t="shared" ca="1" si="15"/>
        <v>0.49410588440130909</v>
      </c>
      <c r="D27" s="19">
        <f t="shared" ca="1" si="15"/>
        <v>0.20833333333333343</v>
      </c>
      <c r="E27" s="19">
        <f t="shared" ca="1" si="15"/>
        <v>0.17968403390623303</v>
      </c>
      <c r="F27" s="19">
        <f t="shared" ca="1" si="15"/>
        <v>0.17714357918205609</v>
      </c>
      <c r="G27" s="19">
        <f t="shared" ca="1" si="16"/>
        <v>0.1514004359765482</v>
      </c>
      <c r="H27" s="19">
        <f t="shared" ca="1" si="16"/>
        <v>0.13799836718605277</v>
      </c>
      <c r="I27" s="19">
        <f t="shared" ca="1" si="16"/>
        <v>0.10770731596418377</v>
      </c>
      <c r="K27" s="242"/>
      <c r="L27"/>
      <c r="M27"/>
      <c r="N27"/>
    </row>
    <row r="28" spans="1:14" s="5" customFormat="1" ht="12" x14ac:dyDescent="0.2">
      <c r="A28">
        <v>59</v>
      </c>
      <c r="B28" s="17" t="str">
        <f t="shared" ca="1" si="14"/>
        <v>Limite basse incertitude relative (%)</v>
      </c>
      <c r="C28" s="19">
        <f t="shared" ca="1" si="15"/>
        <v>0.50589411559869091</v>
      </c>
      <c r="D28" s="19">
        <f t="shared" ca="1" si="15"/>
        <v>0.79166666666666652</v>
      </c>
      <c r="E28" s="19">
        <f t="shared" ca="1" si="15"/>
        <v>0.820315966093767</v>
      </c>
      <c r="F28" s="19">
        <f t="shared" ca="1" si="15"/>
        <v>0.82285642081794386</v>
      </c>
      <c r="G28" s="19">
        <f t="shared" ca="1" si="16"/>
        <v>0.84859956402345182</v>
      </c>
      <c r="H28" s="19">
        <f t="shared" ca="1" si="16"/>
        <v>0.86200163281394726</v>
      </c>
      <c r="I28" s="19">
        <f t="shared" ca="1" si="16"/>
        <v>0.89229268403581619</v>
      </c>
      <c r="K28" s="242"/>
      <c r="L28"/>
      <c r="M28"/>
      <c r="N28"/>
    </row>
    <row r="29" spans="1:14" x14ac:dyDescent="0.15">
      <c r="A29">
        <v>60</v>
      </c>
      <c r="B29" s="17" t="str">
        <f t="shared" ca="1" si="14"/>
        <v>Limite haute incertitude relative (%)</v>
      </c>
      <c r="C29" s="19">
        <f t="shared" ca="1" si="15"/>
        <v>1.4941058844013091</v>
      </c>
      <c r="D29" s="19">
        <f t="shared" ca="1" si="15"/>
        <v>1.2083333333333335</v>
      </c>
      <c r="E29" s="19">
        <f t="shared" ca="1" si="15"/>
        <v>1.1796840339062331</v>
      </c>
      <c r="F29" s="19">
        <f t="shared" ca="1" si="15"/>
        <v>1.1771435791820561</v>
      </c>
      <c r="G29" s="19">
        <f t="shared" ca="1" si="16"/>
        <v>1.1514004359765482</v>
      </c>
      <c r="H29" s="19">
        <f t="shared" ca="1" si="16"/>
        <v>1.1379983671860527</v>
      </c>
      <c r="I29" s="19">
        <f t="shared" ca="1" si="16"/>
        <v>1.1077073159641837</v>
      </c>
      <c r="K29" s="243"/>
    </row>
    <row r="30" spans="1:14" s="2" customFormat="1" ht="10.5" customHeight="1" x14ac:dyDescent="0.15">
      <c r="B30" s="2" t="str">
        <f ca="1">INDIRECT(ADDRESS(ROW(B30)+14,$T$1,1,,"Texte"))</f>
        <v>Coefficients de la fonction d'incertitude élargie relative</v>
      </c>
    </row>
    <row r="31" spans="1:14" s="12" customFormat="1" ht="12" x14ac:dyDescent="0.2">
      <c r="A31"/>
      <c r="B31" s="37" t="str">
        <f t="shared" ref="B31:B34" ca="1" si="17">INDIRECT(ADDRESS(ROW(B31)+14,$T$1,1,,"Texte"))</f>
        <v>Puissance</v>
      </c>
      <c r="C31" s="38">
        <f ca="1">SLOPE(C38:I38,C39:I39)</f>
        <v>-0.54767379609196598</v>
      </c>
      <c r="D31" s="11"/>
      <c r="E31" s="11"/>
      <c r="F31" s="11"/>
      <c r="G31" s="11"/>
      <c r="H31" s="11"/>
      <c r="I31" s="5"/>
      <c r="K31"/>
      <c r="L31"/>
      <c r="M31"/>
      <c r="N31"/>
    </row>
    <row r="32" spans="1:14" s="12" customFormat="1" ht="12" thickBot="1" x14ac:dyDescent="0.2">
      <c r="A32"/>
      <c r="B32" s="37" t="str">
        <f t="shared" ca="1" si="17"/>
        <v>Constante</v>
      </c>
      <c r="C32" s="38">
        <f ca="1">10^INTERCEPT(C38:I38,C39:I39)</f>
        <v>0.5227520570412838</v>
      </c>
      <c r="D32"/>
      <c r="E32"/>
      <c r="F32"/>
      <c r="G32"/>
      <c r="H32"/>
      <c r="I32"/>
      <c r="K32"/>
      <c r="L32"/>
      <c r="M32"/>
      <c r="N32"/>
    </row>
    <row r="33" spans="1:14" s="12" customFormat="1" ht="12" thickBot="1" x14ac:dyDescent="0.2">
      <c r="A33"/>
      <c r="B33" s="41" t="str">
        <f t="shared" ca="1" si="17"/>
        <v xml:space="preserve">Entrez une concentration </v>
      </c>
      <c r="C33" s="39">
        <v>15</v>
      </c>
      <c r="F33"/>
      <c r="G33"/>
      <c r="H33"/>
      <c r="I33"/>
      <c r="K33"/>
      <c r="L33"/>
      <c r="M33"/>
      <c r="N33"/>
    </row>
    <row r="34" spans="1:14" s="12" customFormat="1" x14ac:dyDescent="0.15">
      <c r="A34"/>
      <c r="B34" s="37" t="str">
        <f t="shared" ca="1" si="17"/>
        <v>Incertitude relative élargie</v>
      </c>
      <c r="C34" s="40">
        <f ca="1">C32*POWER(C33,C31)</f>
        <v>0.1186264096012513</v>
      </c>
      <c r="D34" s="38">
        <f ca="1">C33*(1-C34)</f>
        <v>13.220603855981231</v>
      </c>
      <c r="E34" s="38">
        <f ca="1">C33*(1+C34)</f>
        <v>16.779396144018769</v>
      </c>
      <c r="F34"/>
      <c r="G34"/>
      <c r="H34"/>
      <c r="I34"/>
      <c r="K34"/>
      <c r="L34"/>
      <c r="M34"/>
      <c r="N34"/>
    </row>
    <row r="38" spans="1:14" s="12" customFormat="1" x14ac:dyDescent="0.15">
      <c r="A38"/>
      <c r="B38"/>
      <c r="C38" s="29">
        <f ca="1">IF(C27&lt;&gt;"",LOG10(C27),"")</f>
        <v>-0.30617997398388735</v>
      </c>
      <c r="D38" s="29">
        <f t="shared" ref="D38:I38" ca="1" si="18">IF(D27&lt;&gt;"",LOG10(D27),"")</f>
        <v>-0.68124123737558706</v>
      </c>
      <c r="E38" s="29">
        <f t="shared" ca="1" si="18"/>
        <v>-0.74549051106284747</v>
      </c>
      <c r="F38" s="30">
        <f t="shared" ca="1" si="18"/>
        <v>-0.75167458465927561</v>
      </c>
      <c r="G38" s="30">
        <f t="shared" ca="1" si="18"/>
        <v>-0.81987287422870359</v>
      </c>
      <c r="H38" s="30">
        <f t="shared" ca="1" si="18"/>
        <v>-0.86012605219501315</v>
      </c>
      <c r="I38" s="30">
        <f t="shared" ca="1" si="18"/>
        <v>-0.96775479647021978</v>
      </c>
      <c r="K38"/>
      <c r="L38"/>
      <c r="M38"/>
      <c r="N38"/>
    </row>
    <row r="39" spans="1:14" x14ac:dyDescent="0.15">
      <c r="C39" s="29">
        <f ca="1">IF(C24&lt;&gt;"",LOG10(C24),"")</f>
        <v>0.20411998265592479</v>
      </c>
      <c r="D39" s="29">
        <f t="shared" ref="D39:I39" ca="1" si="19">IF(D24&lt;&gt;"",LOG10(D24),"")</f>
        <v>0.55630250076728727</v>
      </c>
      <c r="E39" s="29">
        <f t="shared" ca="1" si="19"/>
        <v>0.74818802700620035</v>
      </c>
      <c r="F39" s="30">
        <f t="shared" ca="1" si="19"/>
        <v>0.88081359228079137</v>
      </c>
      <c r="G39" s="30">
        <f t="shared" ca="1" si="19"/>
        <v>0.98227123303956843</v>
      </c>
      <c r="H39" s="30">
        <f t="shared" ca="1" si="19"/>
        <v>1.0644579892269184</v>
      </c>
      <c r="I39" s="30">
        <f t="shared" ca="1" si="19"/>
        <v>1.3344537511509309</v>
      </c>
    </row>
    <row r="40" spans="1:14" x14ac:dyDescent="0.15">
      <c r="I40" s="12"/>
    </row>
    <row r="41" spans="1:14" x14ac:dyDescent="0.15">
      <c r="B41" s="226"/>
      <c r="C41" s="226">
        <f ca="1">IF(AND(C22&lt;&gt;"", C21&lt;&gt;"", C20&lt;&gt;"", C19&lt;&gt;"", C18&lt;&gt;"", C17&lt;&gt;""), 1, 0)</f>
        <v>1</v>
      </c>
      <c r="D41" s="226">
        <f t="shared" ref="D41:I41" ca="1" si="20">IF(AND(D22&lt;&gt;"", D21&lt;&gt;"", D20&lt;&gt;"", D19&lt;&gt;"", D18&lt;&gt;"", D17&lt;&gt;""), 1, 0)</f>
        <v>1</v>
      </c>
      <c r="E41" s="226">
        <f t="shared" ca="1" si="20"/>
        <v>1</v>
      </c>
      <c r="F41" s="226">
        <f t="shared" ca="1" si="20"/>
        <v>1</v>
      </c>
      <c r="G41" s="226">
        <f ca="1">IF(AND(G22&lt;&gt;"", G21&lt;&gt;"", G20&lt;&gt;"", G19&lt;&gt;"", G18&lt;&gt;"", G17&lt;&gt;""), 1, 0)</f>
        <v>1</v>
      </c>
      <c r="H41" s="226">
        <f t="shared" ca="1" si="20"/>
        <v>1</v>
      </c>
      <c r="I41" s="226">
        <f t="shared" ca="1" si="20"/>
        <v>1</v>
      </c>
      <c r="J41" s="226"/>
    </row>
    <row r="42" spans="1:14" x14ac:dyDescent="0.15">
      <c r="B42" s="227" t="str">
        <f ca="1">B17</f>
        <v>Valeur de référence</v>
      </c>
      <c r="C42" s="226">
        <f ca="1">OFFSET(C17, 0, 0, 1, MATCH(1, C41:I41,0))</f>
        <v>1.6</v>
      </c>
      <c r="D42" s="226">
        <f t="shared" ref="D42:I42" ca="1" si="21">OFFSET(D17, 0, 0, 1, MATCH(1, D41:J41,0))</f>
        <v>3.6</v>
      </c>
      <c r="E42" s="226">
        <f t="shared" ca="1" si="21"/>
        <v>5.6</v>
      </c>
      <c r="F42" s="226">
        <f t="shared" ca="1" si="21"/>
        <v>7.6</v>
      </c>
      <c r="G42" s="226">
        <f t="shared" ca="1" si="21"/>
        <v>9.6</v>
      </c>
      <c r="H42" s="226">
        <f t="shared" ca="1" si="21"/>
        <v>11.6</v>
      </c>
      <c r="I42" s="226">
        <f t="shared" ca="1" si="21"/>
        <v>21.6</v>
      </c>
      <c r="J42" s="226"/>
    </row>
    <row r="43" spans="1:14" x14ac:dyDescent="0.15">
      <c r="B43" s="227" t="str">
        <f t="shared" ref="B43:B47" ca="1" si="22">B18</f>
        <v>Taux de recouvrement (%)</v>
      </c>
      <c r="C43" s="228">
        <f ca="1">OFFSET(C18, 0, 0, 1, MATCH(1, C41:I41,0))</f>
        <v>1.2499999999999998</v>
      </c>
      <c r="D43" s="228">
        <f t="shared" ref="D43:J43" ca="1" si="23">OFFSET(D18, 0, 0, 1, MATCH(1, D41:J41,0))</f>
        <v>1.1041666666666665</v>
      </c>
      <c r="E43" s="228">
        <f t="shared" ca="1" si="23"/>
        <v>1.0580357142857144</v>
      </c>
      <c r="F43" s="228">
        <f t="shared" ca="1" si="23"/>
        <v>1.0822368421052635</v>
      </c>
      <c r="G43" s="228">
        <f t="shared" ca="1" si="23"/>
        <v>1.0390625</v>
      </c>
      <c r="H43" s="228">
        <f t="shared" ca="1" si="23"/>
        <v>1.0323275862068964</v>
      </c>
      <c r="I43" s="228">
        <f t="shared" ca="1" si="23"/>
        <v>1.0196759259259258</v>
      </c>
      <c r="J43" s="228" t="e">
        <f t="shared" ca="1" si="23"/>
        <v>#N/A</v>
      </c>
    </row>
    <row r="44" spans="1:14" x14ac:dyDescent="0.15">
      <c r="B44" s="227" t="str">
        <f t="shared" ca="1" si="22"/>
        <v>Limite basse tolérance (%)</v>
      </c>
      <c r="C44" s="228">
        <f ca="1">OFFSET(C19, 0, 0, 1, MATCH(1, C41:I41,0))</f>
        <v>0.82497779412707584</v>
      </c>
      <c r="D44" s="228">
        <f t="shared" ref="D44:J44" ca="1" si="24">OFFSET(D19, 0, 0, 1, MATCH(1, D41:J41,0))</f>
        <v>0.9249615697723419</v>
      </c>
      <c r="E44" s="228">
        <f t="shared" ca="1" si="24"/>
        <v>0.90347429969437243</v>
      </c>
      <c r="F44" s="228">
        <f t="shared" ca="1" si="24"/>
        <v>0.92986068720192994</v>
      </c>
      <c r="G44" s="228">
        <f t="shared" ca="1" si="24"/>
        <v>0.90883019696470246</v>
      </c>
      <c r="H44" s="228">
        <f t="shared" ca="1" si="24"/>
        <v>0.91362353454528766</v>
      </c>
      <c r="I44" s="228">
        <f t="shared" ca="1" si="24"/>
        <v>0.92702776595669767</v>
      </c>
      <c r="J44" s="228" t="e">
        <f t="shared" ca="1" si="24"/>
        <v>#N/A</v>
      </c>
    </row>
    <row r="45" spans="1:14" x14ac:dyDescent="0.15">
      <c r="B45" s="227" t="str">
        <f t="shared" ca="1" si="22"/>
        <v>Limite haute tolérance (%)</v>
      </c>
      <c r="C45" s="228">
        <f ca="1">OFFSET(C20, 0, 0, 1, MATCH(1, C41:I41,0))</f>
        <v>1.6750222058729238</v>
      </c>
      <c r="D45" s="228">
        <f t="shared" ref="D45:J45" ca="1" si="25">OFFSET(D20, 0, 0, 1, MATCH(1, D41:J41,0))</f>
        <v>1.2833717635609914</v>
      </c>
      <c r="E45" s="228">
        <f t="shared" ca="1" si="25"/>
        <v>1.2125971288770563</v>
      </c>
      <c r="F45" s="228">
        <f t="shared" ca="1" si="25"/>
        <v>1.2346129970085971</v>
      </c>
      <c r="G45" s="228">
        <f t="shared" ca="1" si="25"/>
        <v>1.1692948030352976</v>
      </c>
      <c r="H45" s="228">
        <f t="shared" ca="1" si="25"/>
        <v>1.151031637868505</v>
      </c>
      <c r="I45" s="228">
        <f t="shared" ca="1" si="25"/>
        <v>1.112324085895154</v>
      </c>
      <c r="J45" s="228" t="e">
        <f t="shared" ca="1" si="25"/>
        <v>#N/A</v>
      </c>
    </row>
    <row r="46" spans="1:14" x14ac:dyDescent="0.15">
      <c r="B46" s="227" t="str">
        <f t="shared" ca="1" si="22"/>
        <v xml:space="preserve">Limite d'acceptabilité basse </v>
      </c>
      <c r="C46" s="228">
        <f ca="1">OFFSET(C21, 0, 0, 1, MATCH(1, C41:I41,0))</f>
        <v>0.7</v>
      </c>
      <c r="D46" s="228">
        <f t="shared" ref="D46:J46" ca="1" si="26">OFFSET(D21, 0, 0, 1, MATCH(1, D41:J41,0))</f>
        <v>0.7</v>
      </c>
      <c r="E46" s="228">
        <f t="shared" ca="1" si="26"/>
        <v>0.7</v>
      </c>
      <c r="F46" s="228">
        <f t="shared" ca="1" si="26"/>
        <v>0.7</v>
      </c>
      <c r="G46" s="228">
        <f t="shared" ca="1" si="26"/>
        <v>0.7</v>
      </c>
      <c r="H46" s="228">
        <f t="shared" ca="1" si="26"/>
        <v>0.7</v>
      </c>
      <c r="I46" s="228">
        <f t="shared" ca="1" si="26"/>
        <v>0.7</v>
      </c>
      <c r="J46" s="228" t="e">
        <f t="shared" ca="1" si="26"/>
        <v>#N/A</v>
      </c>
    </row>
    <row r="47" spans="1:14" x14ac:dyDescent="0.15">
      <c r="B47" s="227" t="str">
        <f t="shared" ca="1" si="22"/>
        <v>Limite d'acceptabilité haute</v>
      </c>
      <c r="C47" s="228">
        <f ca="1">OFFSET(C22, 0, 0, 1, MATCH(1, C41:I41,0))</f>
        <v>1.3</v>
      </c>
      <c r="D47" s="228">
        <f t="shared" ref="D47:J47" ca="1" si="27">OFFSET(D22, 0, 0, 1, MATCH(1, D41:J41,0))</f>
        <v>1.3</v>
      </c>
      <c r="E47" s="228">
        <f t="shared" ca="1" si="27"/>
        <v>1.3</v>
      </c>
      <c r="F47" s="228">
        <f t="shared" ca="1" si="27"/>
        <v>1.3</v>
      </c>
      <c r="G47" s="228">
        <f t="shared" ca="1" si="27"/>
        <v>1.3</v>
      </c>
      <c r="H47" s="228">
        <f t="shared" ca="1" si="27"/>
        <v>1.3</v>
      </c>
      <c r="I47" s="228">
        <f t="shared" ca="1" si="27"/>
        <v>1.3</v>
      </c>
      <c r="J47" s="228" t="e">
        <f t="shared" ca="1" si="27"/>
        <v>#N/A</v>
      </c>
    </row>
    <row r="48" spans="1:14" x14ac:dyDescent="0.15">
      <c r="B48" s="226"/>
      <c r="C48" s="226"/>
      <c r="D48" s="226"/>
      <c r="E48" s="226"/>
      <c r="F48" s="226"/>
      <c r="G48" s="226"/>
      <c r="H48" s="226"/>
      <c r="I48" s="226"/>
      <c r="J48" s="226"/>
    </row>
    <row r="49" spans="2:10" x14ac:dyDescent="0.15">
      <c r="B49" s="226"/>
      <c r="C49" s="226"/>
      <c r="D49" s="226"/>
      <c r="E49" s="226"/>
      <c r="F49" s="226"/>
      <c r="G49" s="226"/>
      <c r="H49" s="226"/>
      <c r="I49" s="226"/>
      <c r="J49" s="226"/>
    </row>
    <row r="50" spans="2:10" x14ac:dyDescent="0.15">
      <c r="B50" s="226"/>
      <c r="C50" s="226">
        <f ca="1">IF(AND(C29&lt;&gt;"", C28&lt;&gt;"", C27&lt;&gt;"", C26&lt;&gt;"", C25&lt;&gt;"", C24&lt;&gt;""), 1, 0)</f>
        <v>1</v>
      </c>
      <c r="D50" s="226">
        <f t="shared" ref="D50:J50" ca="1" si="28">IF(AND(D29&lt;&gt;"", D28&lt;&gt;"", D27&lt;&gt;"", D26&lt;&gt;"", D25&lt;&gt;"", D24&lt;&gt;""), 1, 0)</f>
        <v>1</v>
      </c>
      <c r="E50" s="226">
        <f t="shared" ca="1" si="28"/>
        <v>1</v>
      </c>
      <c r="F50" s="226">
        <f t="shared" ca="1" si="28"/>
        <v>1</v>
      </c>
      <c r="G50" s="226">
        <f t="shared" ca="1" si="28"/>
        <v>1</v>
      </c>
      <c r="H50" s="226">
        <f t="shared" ca="1" si="28"/>
        <v>1</v>
      </c>
      <c r="I50" s="226">
        <f t="shared" ca="1" si="28"/>
        <v>1</v>
      </c>
      <c r="J50" s="226">
        <f t="shared" si="28"/>
        <v>0</v>
      </c>
    </row>
    <row r="51" spans="2:10" x14ac:dyDescent="0.15">
      <c r="B51" s="226" t="str">
        <f ca="1">B24</f>
        <v>Valeur de référence</v>
      </c>
      <c r="C51" s="226">
        <f ca="1">OFFSET(C24, 0, 0, 1, MATCH(1, C50:I50,0))</f>
        <v>1.6</v>
      </c>
      <c r="D51" s="226">
        <f t="shared" ref="D51:J51" ca="1" si="29">OFFSET(D24, 0, 0, 1, MATCH(1, D50:J50,0))</f>
        <v>3.6</v>
      </c>
      <c r="E51" s="226">
        <f t="shared" ca="1" si="29"/>
        <v>5.6</v>
      </c>
      <c r="F51" s="226">
        <f t="shared" ca="1" si="29"/>
        <v>7.6</v>
      </c>
      <c r="G51" s="226">
        <f t="shared" ca="1" si="29"/>
        <v>9.6</v>
      </c>
      <c r="H51" s="226">
        <f t="shared" ca="1" si="29"/>
        <v>11.6</v>
      </c>
      <c r="I51" s="226">
        <f t="shared" ca="1" si="29"/>
        <v>21.6</v>
      </c>
      <c r="J51" s="226" t="e">
        <f t="shared" ca="1" si="29"/>
        <v>#N/A</v>
      </c>
    </row>
    <row r="52" spans="2:10" x14ac:dyDescent="0.15">
      <c r="B52" s="226" t="str">
        <f t="shared" ref="B52:B56" ca="1" si="30">B25</f>
        <v>Incertitude-type composée</v>
      </c>
      <c r="C52" s="226">
        <f ca="1">OFFSET(C25, 0, 0, 1, MATCH(1, C50:I50,0))</f>
        <v>0.39528470752104727</v>
      </c>
      <c r="D52" s="226">
        <f t="shared" ref="D52:J52" ca="1" si="31">OFFSET(D25, 0, 0, 1, MATCH(1, D50:J50,0))</f>
        <v>0.37500000000000017</v>
      </c>
      <c r="E52" s="226">
        <f t="shared" ca="1" si="31"/>
        <v>0.50311529493745244</v>
      </c>
      <c r="F52" s="226">
        <f t="shared" ca="1" si="31"/>
        <v>0.67314560089181308</v>
      </c>
      <c r="G52" s="226">
        <f t="shared" ca="1" si="31"/>
        <v>0.72672209268743138</v>
      </c>
      <c r="H52" s="226">
        <f t="shared" ca="1" si="31"/>
        <v>0.80039052967910596</v>
      </c>
      <c r="I52" s="226">
        <f t="shared" ca="1" si="31"/>
        <v>1.1632390124131848</v>
      </c>
      <c r="J52" s="226" t="e">
        <f t="shared" ca="1" si="31"/>
        <v>#N/A</v>
      </c>
    </row>
    <row r="53" spans="2:10" x14ac:dyDescent="0.15">
      <c r="B53" s="226" t="str">
        <f t="shared" ca="1" si="30"/>
        <v>Incertitude étendue</v>
      </c>
      <c r="C53" s="226">
        <f ca="1">OFFSET(C26, 0, 0, 1, MATCH(1, C50:I50,0))</f>
        <v>0.79056941504209455</v>
      </c>
      <c r="D53" s="226">
        <f t="shared" ref="D53:J53" ca="1" si="32">OFFSET(D26, 0, 0, 1, MATCH(1, D50:J50,0))</f>
        <v>0.75000000000000033</v>
      </c>
      <c r="E53" s="226">
        <f t="shared" ca="1" si="32"/>
        <v>1.0062305898749049</v>
      </c>
      <c r="F53" s="226">
        <f t="shared" ca="1" si="32"/>
        <v>1.3462912017836262</v>
      </c>
      <c r="G53" s="226">
        <f t="shared" ca="1" si="32"/>
        <v>1.4534441853748628</v>
      </c>
      <c r="H53" s="226">
        <f t="shared" ca="1" si="32"/>
        <v>1.6007810593582119</v>
      </c>
      <c r="I53" s="226">
        <f t="shared" ca="1" si="32"/>
        <v>2.3264780248263697</v>
      </c>
      <c r="J53" s="226" t="e">
        <f t="shared" ca="1" si="32"/>
        <v>#N/A</v>
      </c>
    </row>
    <row r="54" spans="2:10" x14ac:dyDescent="0.15">
      <c r="B54" s="226" t="str">
        <f t="shared" ca="1" si="30"/>
        <v>Incertitude relative (%)</v>
      </c>
      <c r="C54" s="228">
        <f ca="1">OFFSET(C27, 0, 0, 1, MATCH(1, C50:I50,0))</f>
        <v>0.49410588440130909</v>
      </c>
      <c r="D54" s="228">
        <f t="shared" ref="D54:J54" ca="1" si="33">OFFSET(D27, 0, 0, 1, MATCH(1, D50:J50,0))</f>
        <v>0.20833333333333343</v>
      </c>
      <c r="E54" s="228">
        <f t="shared" ca="1" si="33"/>
        <v>0.17968403390623303</v>
      </c>
      <c r="F54" s="228">
        <f t="shared" ca="1" si="33"/>
        <v>0.17714357918205609</v>
      </c>
      <c r="G54" s="228">
        <f t="shared" ca="1" si="33"/>
        <v>0.1514004359765482</v>
      </c>
      <c r="H54" s="228">
        <f t="shared" ca="1" si="33"/>
        <v>0.13799836718605277</v>
      </c>
      <c r="I54" s="228">
        <f t="shared" ca="1" si="33"/>
        <v>0.10770731596418377</v>
      </c>
      <c r="J54" s="228" t="e">
        <f t="shared" ca="1" si="33"/>
        <v>#N/A</v>
      </c>
    </row>
    <row r="55" spans="2:10" x14ac:dyDescent="0.15">
      <c r="B55" s="226" t="str">
        <f t="shared" ca="1" si="30"/>
        <v>Limite basse incertitude relative (%)</v>
      </c>
      <c r="C55" s="228">
        <f ca="1">OFFSET(C28, 0, 0, 1, MATCH(1, C50:I50,0))</f>
        <v>0.50589411559869091</v>
      </c>
      <c r="D55" s="228">
        <f t="shared" ref="D55:J55" ca="1" si="34">OFFSET(D28, 0, 0, 1, MATCH(1, D50:J50,0))</f>
        <v>0.79166666666666652</v>
      </c>
      <c r="E55" s="228">
        <f t="shared" ca="1" si="34"/>
        <v>0.820315966093767</v>
      </c>
      <c r="F55" s="228">
        <f t="shared" ca="1" si="34"/>
        <v>0.82285642081794386</v>
      </c>
      <c r="G55" s="228">
        <f t="shared" ca="1" si="34"/>
        <v>0.84859956402345182</v>
      </c>
      <c r="H55" s="228">
        <f t="shared" ca="1" si="34"/>
        <v>0.86200163281394726</v>
      </c>
      <c r="I55" s="228">
        <f t="shared" ca="1" si="34"/>
        <v>0.89229268403581619</v>
      </c>
      <c r="J55" s="228" t="e">
        <f t="shared" ca="1" si="34"/>
        <v>#N/A</v>
      </c>
    </row>
    <row r="56" spans="2:10" x14ac:dyDescent="0.15">
      <c r="B56" s="226" t="str">
        <f t="shared" ca="1" si="30"/>
        <v>Limite haute incertitude relative (%)</v>
      </c>
      <c r="C56" s="228">
        <f ca="1">OFFSET(C29, 0, 0, 1, MATCH(1, C50:I50,0))</f>
        <v>1.4941058844013091</v>
      </c>
      <c r="D56" s="228">
        <f t="shared" ref="D56:J56" ca="1" si="35">OFFSET(D29, 0, 0, 1, MATCH(1, D50:J50,0))</f>
        <v>1.2083333333333335</v>
      </c>
      <c r="E56" s="228">
        <f t="shared" ca="1" si="35"/>
        <v>1.1796840339062331</v>
      </c>
      <c r="F56" s="228">
        <f t="shared" ca="1" si="35"/>
        <v>1.1771435791820561</v>
      </c>
      <c r="G56" s="228">
        <f t="shared" ca="1" si="35"/>
        <v>1.1514004359765482</v>
      </c>
      <c r="H56" s="228">
        <f t="shared" ca="1" si="35"/>
        <v>1.1379983671860527</v>
      </c>
      <c r="I56" s="228">
        <f t="shared" ca="1" si="35"/>
        <v>1.1077073159641837</v>
      </c>
      <c r="J56" s="228" t="e">
        <f t="shared" ca="1" si="35"/>
        <v>#N/A</v>
      </c>
    </row>
    <row r="57" spans="2:10" x14ac:dyDescent="0.15">
      <c r="B57" s="226"/>
      <c r="C57" s="226"/>
      <c r="D57" s="226"/>
      <c r="E57" s="226"/>
      <c r="F57" s="226"/>
      <c r="G57" s="226"/>
      <c r="H57" s="226"/>
      <c r="I57" s="226"/>
      <c r="J57" s="226"/>
    </row>
    <row r="58" spans="2:10" x14ac:dyDescent="0.15">
      <c r="B58" s="226"/>
      <c r="C58" s="226"/>
      <c r="D58" s="226"/>
      <c r="E58" s="226"/>
      <c r="F58" s="226"/>
      <c r="G58" s="226"/>
      <c r="H58" s="226"/>
      <c r="I58" s="226"/>
      <c r="J58" s="226"/>
    </row>
    <row r="59" spans="2:10" x14ac:dyDescent="0.15">
      <c r="B59" s="226"/>
      <c r="C59" s="226">
        <f ca="1">IF(AND(C7&lt;&gt;"", C6&lt;&gt;""), 1, 0)</f>
        <v>1</v>
      </c>
      <c r="D59" s="226">
        <f t="shared" ref="D59:J59" ca="1" si="36">IF(AND(D7&lt;&gt;"", D6&lt;&gt;""), 1, 0)</f>
        <v>1</v>
      </c>
      <c r="E59" s="226">
        <f t="shared" ca="1" si="36"/>
        <v>1</v>
      </c>
      <c r="F59" s="226">
        <f t="shared" ca="1" si="36"/>
        <v>1</v>
      </c>
      <c r="G59" s="226">
        <f t="shared" ca="1" si="36"/>
        <v>1</v>
      </c>
      <c r="H59" s="226">
        <f t="shared" ca="1" si="36"/>
        <v>1</v>
      </c>
      <c r="I59" s="226">
        <f t="shared" ca="1" si="36"/>
        <v>1</v>
      </c>
      <c r="J59" s="226">
        <f t="shared" si="36"/>
        <v>0</v>
      </c>
    </row>
    <row r="60" spans="2:10" x14ac:dyDescent="0.15">
      <c r="B60" s="226" t="str">
        <f ca="1">B6</f>
        <v>Valeur de référence</v>
      </c>
      <c r="C60" s="226">
        <f ca="1">OFFSET(C6, 0, 0, 1, MATCH(1, C59:I59,0))</f>
        <v>1.6</v>
      </c>
      <c r="D60" s="226">
        <f t="shared" ref="D60:J60" ca="1" si="37">OFFSET(D6, 0, 0, 1, MATCH(1, D59:J59,0))</f>
        <v>3.6</v>
      </c>
      <c r="E60" s="226">
        <f t="shared" ca="1" si="37"/>
        <v>5.6</v>
      </c>
      <c r="F60" s="226">
        <f t="shared" ca="1" si="37"/>
        <v>7.6</v>
      </c>
      <c r="G60" s="226">
        <f t="shared" ca="1" si="37"/>
        <v>9.6</v>
      </c>
      <c r="H60" s="226">
        <f t="shared" ca="1" si="37"/>
        <v>11.6</v>
      </c>
      <c r="I60" s="226">
        <f t="shared" ca="1" si="37"/>
        <v>21.6</v>
      </c>
      <c r="J60" s="226" t="e">
        <f t="shared" ca="1" si="37"/>
        <v>#N/A</v>
      </c>
    </row>
    <row r="61" spans="2:10" x14ac:dyDescent="0.15">
      <c r="B61" s="226" t="str">
        <f ca="1">B7</f>
        <v>Moyenne niveau</v>
      </c>
      <c r="C61" s="229">
        <f ca="1">OFFSET(C7, 0, 0, 1, MATCH(1, C59:I59,0))</f>
        <v>1.9999999999999998</v>
      </c>
      <c r="D61" s="229">
        <f t="shared" ref="D61:J61" ca="1" si="38">OFFSET(D7, 0, 0, 1, MATCH(1, D59:J59,0))</f>
        <v>3.9749999999999996</v>
      </c>
      <c r="E61" s="229">
        <f t="shared" ca="1" si="38"/>
        <v>5.9249999999999998</v>
      </c>
      <c r="F61" s="229">
        <f t="shared" ca="1" si="38"/>
        <v>8.2250000000000014</v>
      </c>
      <c r="G61" s="229">
        <f t="shared" ca="1" si="38"/>
        <v>9.9749999999999996</v>
      </c>
      <c r="H61" s="229">
        <f t="shared" ca="1" si="38"/>
        <v>11.974999999999998</v>
      </c>
      <c r="I61" s="229">
        <f t="shared" ca="1" si="38"/>
        <v>22.024999999999999</v>
      </c>
      <c r="J61" s="229" t="e">
        <f t="shared" ca="1" si="38"/>
        <v>#N/A</v>
      </c>
    </row>
  </sheetData>
  <sheetProtection algorithmName="SHA-512" hashValue="1piSilnNjrKiRAoOLsValwJt04AupRHltskP+NbA5C+o26EYOjOr0YzHENBntnz0KK8Ml+PHTrb8F6XPu7wWCw==" saltValue="cbVjcxpD1m+hFqcBhjJOtA==" spinCount="100000" sheet="1" objects="1" scenarios="1"/>
  <mergeCells count="2">
    <mergeCell ref="K17:K22"/>
    <mergeCell ref="K24:K29"/>
  </mergeCells>
  <phoneticPr fontId="1" type="noConversion"/>
  <pageMargins left="0.78740157499999996" right="0.78740157499999996" top="0.984251969" bottom="0.984251969" header="0.4921259845" footer="0.4921259845"/>
  <pageSetup paperSize="9" orientation="landscape" r:id="rId1"/>
  <headerFooter alignWithMargins="0">
    <oddFooter>&amp;A&amp;RPage &amp;P</oddFooter>
  </headerFooter>
  <cellWatches>
    <cellWatch r="F7"/>
  </cellWatch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pageSetUpPr fitToPage="1"/>
  </sheetPr>
  <dimension ref="A1:K60"/>
  <sheetViews>
    <sheetView zoomScaleNormal="100" workbookViewId="0">
      <selection activeCell="B42" sqref="B42"/>
    </sheetView>
  </sheetViews>
  <sheetFormatPr baseColWidth="10" defaultRowHeight="11.25" x14ac:dyDescent="0.15"/>
  <cols>
    <col min="1" max="1" width="31.375" bestFit="1" customWidth="1"/>
    <col min="2" max="7" width="15" customWidth="1"/>
    <col min="8" max="8" width="9.625" hidden="1" customWidth="1"/>
    <col min="9" max="9" width="2.75" hidden="1" customWidth="1"/>
    <col min="10" max="10" width="7.375" hidden="1" customWidth="1"/>
    <col min="11" max="11" width="5.375" hidden="1" customWidth="1"/>
    <col min="12" max="12" width="9.625" customWidth="1"/>
  </cols>
  <sheetData>
    <row r="1" spans="1:11" s="2" customFormat="1" ht="12" thickBot="1" x14ac:dyDescent="0.2">
      <c r="A1" s="2" t="str">
        <f ca="1">INDIRECT(ADDRESS(ROW(A1)+49,$J$1,1,,"Texte"))</f>
        <v>Niveau</v>
      </c>
      <c r="J1" s="2">
        <f>'Mode d''emploi'!T1</f>
        <v>1</v>
      </c>
    </row>
    <row r="2" spans="1:11" ht="12" thickBot="1" x14ac:dyDescent="0.2">
      <c r="A2" t="str">
        <f ca="1">INDIRECT(ADDRESS(ROW(A2)+49,$J$1,1,,"Texte"))</f>
        <v>Valeur de référence</v>
      </c>
      <c r="B2" s="24">
        <v>1.6</v>
      </c>
    </row>
    <row r="3" spans="1:11" x14ac:dyDescent="0.15">
      <c r="A3" t="str">
        <f t="shared" ref="A3:A60" ca="1" si="0">INDIRECT(ADDRESS(ROW(A3)+49,$J$1,1,,"Texte"))</f>
        <v xml:space="preserve">  </v>
      </c>
    </row>
    <row r="4" spans="1:11" x14ac:dyDescent="0.15">
      <c r="A4" t="str">
        <f t="shared" ca="1" si="0"/>
        <v xml:space="preserve">  </v>
      </c>
      <c r="B4" t="s">
        <v>75</v>
      </c>
      <c r="C4" t="s">
        <v>76</v>
      </c>
      <c r="D4" t="s">
        <v>77</v>
      </c>
      <c r="E4" t="s">
        <v>78</v>
      </c>
      <c r="F4" t="s">
        <v>79</v>
      </c>
      <c r="G4" t="s">
        <v>80</v>
      </c>
      <c r="I4" t="s">
        <v>1</v>
      </c>
      <c r="J4" t="s">
        <v>2</v>
      </c>
      <c r="K4" t="s">
        <v>81</v>
      </c>
    </row>
    <row r="5" spans="1:11" x14ac:dyDescent="0.15">
      <c r="A5" t="str">
        <f t="shared" ca="1" si="0"/>
        <v>Série (Jour) 01</v>
      </c>
      <c r="B5" s="44">
        <v>2.1</v>
      </c>
      <c r="C5" s="44">
        <v>2</v>
      </c>
      <c r="D5" s="44"/>
      <c r="E5" s="44"/>
      <c r="F5" s="44"/>
      <c r="G5" s="44"/>
      <c r="I5" s="7">
        <f>COUNT(B5:G5)</f>
        <v>2</v>
      </c>
      <c r="J5" s="1">
        <f>IF(I5=0,"",DEVSQ(B5:G5))</f>
        <v>5.0000000000000088E-3</v>
      </c>
      <c r="K5" s="3">
        <f t="shared" ref="K5:K24" si="1">IF(I5=0,"",AVERAGE(B5:G5))</f>
        <v>2.0499999999999998</v>
      </c>
    </row>
    <row r="6" spans="1:11" x14ac:dyDescent="0.15">
      <c r="A6" t="str">
        <f t="shared" ca="1" si="0"/>
        <v>Série (Jour) 02</v>
      </c>
      <c r="B6" s="44">
        <v>1.6</v>
      </c>
      <c r="C6" s="44">
        <v>2.2999999999999998</v>
      </c>
      <c r="D6" s="44"/>
      <c r="E6" s="44"/>
      <c r="F6" s="44"/>
      <c r="G6" s="44"/>
      <c r="I6" s="7">
        <f t="shared" ref="I6:I24" si="2">COUNT(B6:G6)</f>
        <v>2</v>
      </c>
      <c r="J6" s="1">
        <f t="shared" ref="J6:J24" si="3">IF(I6=0,"",DEVSQ(B6:G6))</f>
        <v>0.2449999999999998</v>
      </c>
      <c r="K6" s="3">
        <f t="shared" si="1"/>
        <v>1.95</v>
      </c>
    </row>
    <row r="7" spans="1:11" x14ac:dyDescent="0.15">
      <c r="A7" t="str">
        <f t="shared" ca="1" si="0"/>
        <v>Série (Jour) 03</v>
      </c>
      <c r="B7" s="44"/>
      <c r="C7" s="44"/>
      <c r="D7" s="44"/>
      <c r="E7" s="44"/>
      <c r="F7" s="44"/>
      <c r="G7" s="44"/>
      <c r="I7" s="7">
        <f t="shared" si="2"/>
        <v>0</v>
      </c>
      <c r="J7" s="1" t="str">
        <f t="shared" si="3"/>
        <v/>
      </c>
      <c r="K7" s="3" t="str">
        <f t="shared" si="1"/>
        <v/>
      </c>
    </row>
    <row r="8" spans="1:11" x14ac:dyDescent="0.15">
      <c r="A8" t="str">
        <f t="shared" ca="1" si="0"/>
        <v>Série (Jour) 04</v>
      </c>
      <c r="B8" s="44"/>
      <c r="C8" s="44"/>
      <c r="D8" s="44"/>
      <c r="E8" s="44"/>
      <c r="F8" s="44"/>
      <c r="G8" s="44"/>
      <c r="I8" s="7">
        <f t="shared" si="2"/>
        <v>0</v>
      </c>
      <c r="J8" s="1" t="str">
        <f t="shared" si="3"/>
        <v/>
      </c>
      <c r="K8" s="3" t="str">
        <f t="shared" si="1"/>
        <v/>
      </c>
    </row>
    <row r="9" spans="1:11" x14ac:dyDescent="0.15">
      <c r="A9" t="str">
        <f t="shared" ca="1" si="0"/>
        <v>Série (Jour) 05</v>
      </c>
      <c r="B9" s="44"/>
      <c r="C9" s="44"/>
      <c r="D9" s="44"/>
      <c r="E9" s="44"/>
      <c r="F9" s="44"/>
      <c r="G9" s="44"/>
      <c r="I9" s="7">
        <f t="shared" si="2"/>
        <v>0</v>
      </c>
      <c r="J9" s="1" t="str">
        <f t="shared" si="3"/>
        <v/>
      </c>
      <c r="K9" s="3" t="str">
        <f t="shared" si="1"/>
        <v/>
      </c>
    </row>
    <row r="10" spans="1:11" x14ac:dyDescent="0.15">
      <c r="A10" t="str">
        <f t="shared" ca="1" si="0"/>
        <v>Série (Jour) 06</v>
      </c>
      <c r="B10" s="44"/>
      <c r="C10" s="44"/>
      <c r="D10" s="44"/>
      <c r="E10" s="44"/>
      <c r="F10" s="44"/>
      <c r="G10" s="44"/>
      <c r="I10" s="7">
        <f t="shared" si="2"/>
        <v>0</v>
      </c>
      <c r="J10" s="1" t="str">
        <f t="shared" si="3"/>
        <v/>
      </c>
      <c r="K10" s="3" t="str">
        <f t="shared" si="1"/>
        <v/>
      </c>
    </row>
    <row r="11" spans="1:11" x14ac:dyDescent="0.15">
      <c r="A11" t="str">
        <f t="shared" ca="1" si="0"/>
        <v>Série (Jour) 07</v>
      </c>
      <c r="B11" s="44"/>
      <c r="C11" s="44"/>
      <c r="D11" s="44"/>
      <c r="E11" s="44"/>
      <c r="F11" s="44"/>
      <c r="G11" s="44"/>
      <c r="I11" s="7">
        <f t="shared" si="2"/>
        <v>0</v>
      </c>
      <c r="J11" s="1" t="str">
        <f t="shared" si="3"/>
        <v/>
      </c>
      <c r="K11" s="3" t="str">
        <f t="shared" si="1"/>
        <v/>
      </c>
    </row>
    <row r="12" spans="1:11" x14ac:dyDescent="0.15">
      <c r="A12" t="str">
        <f t="shared" ca="1" si="0"/>
        <v>Série (Jour) 08</v>
      </c>
      <c r="B12" s="44"/>
      <c r="C12" s="44"/>
      <c r="D12" s="44"/>
      <c r="E12" s="44"/>
      <c r="F12" s="44"/>
      <c r="G12" s="44"/>
      <c r="I12" s="7">
        <f t="shared" si="2"/>
        <v>0</v>
      </c>
      <c r="J12" s="1" t="str">
        <f t="shared" si="3"/>
        <v/>
      </c>
      <c r="K12" s="3" t="str">
        <f t="shared" si="1"/>
        <v/>
      </c>
    </row>
    <row r="13" spans="1:11" x14ac:dyDescent="0.15">
      <c r="A13" t="str">
        <f t="shared" ca="1" si="0"/>
        <v>Série (Jour) 09</v>
      </c>
      <c r="B13" s="44"/>
      <c r="C13" s="44"/>
      <c r="D13" s="44"/>
      <c r="E13" s="44"/>
      <c r="F13" s="44"/>
      <c r="G13" s="44"/>
      <c r="I13" s="7">
        <f t="shared" si="2"/>
        <v>0</v>
      </c>
      <c r="J13" s="1" t="str">
        <f t="shared" si="3"/>
        <v/>
      </c>
      <c r="K13" s="3" t="str">
        <f t="shared" si="1"/>
        <v/>
      </c>
    </row>
    <row r="14" spans="1:11" x14ac:dyDescent="0.15">
      <c r="A14" t="str">
        <f t="shared" ca="1" si="0"/>
        <v>Série (Jour) 10</v>
      </c>
      <c r="B14" s="44"/>
      <c r="C14" s="44"/>
      <c r="D14" s="44"/>
      <c r="E14" s="44"/>
      <c r="F14" s="44"/>
      <c r="G14" s="44"/>
      <c r="I14" s="7">
        <f t="shared" si="2"/>
        <v>0</v>
      </c>
      <c r="J14" s="1" t="str">
        <f t="shared" si="3"/>
        <v/>
      </c>
      <c r="K14" s="3" t="str">
        <f t="shared" si="1"/>
        <v/>
      </c>
    </row>
    <row r="15" spans="1:11" x14ac:dyDescent="0.15">
      <c r="A15" t="str">
        <f t="shared" ca="1" si="0"/>
        <v>Série (Jour) 11</v>
      </c>
      <c r="B15" s="44"/>
      <c r="C15" s="44"/>
      <c r="D15" s="44"/>
      <c r="E15" s="44"/>
      <c r="F15" s="44"/>
      <c r="G15" s="44"/>
      <c r="I15" s="7">
        <f t="shared" si="2"/>
        <v>0</v>
      </c>
      <c r="J15" s="1" t="str">
        <f t="shared" si="3"/>
        <v/>
      </c>
      <c r="K15" s="3" t="str">
        <f t="shared" si="1"/>
        <v/>
      </c>
    </row>
    <row r="16" spans="1:11" x14ac:dyDescent="0.15">
      <c r="A16" t="str">
        <f t="shared" ca="1" si="0"/>
        <v>Série (Jour) 12</v>
      </c>
      <c r="B16" s="44"/>
      <c r="C16" s="44"/>
      <c r="D16" s="44"/>
      <c r="E16" s="44"/>
      <c r="F16" s="44"/>
      <c r="G16" s="44"/>
      <c r="I16" s="7">
        <f t="shared" si="2"/>
        <v>0</v>
      </c>
      <c r="J16" s="1" t="str">
        <f t="shared" si="3"/>
        <v/>
      </c>
      <c r="K16" s="3" t="str">
        <f t="shared" si="1"/>
        <v/>
      </c>
    </row>
    <row r="17" spans="1:11" x14ac:dyDescent="0.15">
      <c r="A17" t="str">
        <f t="shared" ca="1" si="0"/>
        <v>Série (Jour) 13</v>
      </c>
      <c r="B17" s="44"/>
      <c r="C17" s="44"/>
      <c r="D17" s="44"/>
      <c r="E17" s="44"/>
      <c r="F17" s="44"/>
      <c r="G17" s="44"/>
      <c r="I17" s="7">
        <f t="shared" si="2"/>
        <v>0</v>
      </c>
      <c r="J17" s="1" t="str">
        <f t="shared" si="3"/>
        <v/>
      </c>
      <c r="K17" s="3" t="str">
        <f t="shared" si="1"/>
        <v/>
      </c>
    </row>
    <row r="18" spans="1:11" x14ac:dyDescent="0.15">
      <c r="A18" t="str">
        <f t="shared" ca="1" si="0"/>
        <v>Série (Jour) 14</v>
      </c>
      <c r="B18" s="44"/>
      <c r="C18" s="44"/>
      <c r="D18" s="44"/>
      <c r="E18" s="44"/>
      <c r="F18" s="44"/>
      <c r="G18" s="44"/>
      <c r="I18" s="7">
        <f t="shared" si="2"/>
        <v>0</v>
      </c>
      <c r="J18" s="1" t="str">
        <f t="shared" si="3"/>
        <v/>
      </c>
      <c r="K18" s="3" t="str">
        <f t="shared" si="1"/>
        <v/>
      </c>
    </row>
    <row r="19" spans="1:11" x14ac:dyDescent="0.15">
      <c r="A19" t="str">
        <f t="shared" ca="1" si="0"/>
        <v>Série (Jour) 15</v>
      </c>
      <c r="B19" s="44"/>
      <c r="C19" s="44"/>
      <c r="D19" s="44"/>
      <c r="E19" s="44"/>
      <c r="F19" s="44"/>
      <c r="G19" s="44"/>
      <c r="I19" s="7">
        <f t="shared" si="2"/>
        <v>0</v>
      </c>
      <c r="J19" s="1" t="str">
        <f t="shared" si="3"/>
        <v/>
      </c>
      <c r="K19" s="3" t="str">
        <f t="shared" si="1"/>
        <v/>
      </c>
    </row>
    <row r="20" spans="1:11" x14ac:dyDescent="0.15">
      <c r="A20" t="str">
        <f t="shared" ca="1" si="0"/>
        <v>Série (Jour) 16</v>
      </c>
      <c r="B20" s="44"/>
      <c r="C20" s="44"/>
      <c r="D20" s="44"/>
      <c r="E20" s="44"/>
      <c r="F20" s="44"/>
      <c r="G20" s="44"/>
      <c r="I20" s="7">
        <f t="shared" si="2"/>
        <v>0</v>
      </c>
      <c r="J20" s="1" t="str">
        <f t="shared" si="3"/>
        <v/>
      </c>
      <c r="K20" s="3" t="str">
        <f t="shared" si="1"/>
        <v/>
      </c>
    </row>
    <row r="21" spans="1:11" x14ac:dyDescent="0.15">
      <c r="A21" t="str">
        <f t="shared" ca="1" si="0"/>
        <v>Série (Jour) 17</v>
      </c>
      <c r="B21" s="44"/>
      <c r="C21" s="44"/>
      <c r="D21" s="44"/>
      <c r="E21" s="44"/>
      <c r="F21" s="44"/>
      <c r="G21" s="44"/>
      <c r="I21" s="7">
        <f t="shared" si="2"/>
        <v>0</v>
      </c>
      <c r="J21" s="1" t="str">
        <f t="shared" si="3"/>
        <v/>
      </c>
      <c r="K21" s="3" t="str">
        <f t="shared" si="1"/>
        <v/>
      </c>
    </row>
    <row r="22" spans="1:11" x14ac:dyDescent="0.15">
      <c r="A22" t="str">
        <f t="shared" ca="1" si="0"/>
        <v>Série (Jour) 18</v>
      </c>
      <c r="B22" s="44"/>
      <c r="C22" s="44"/>
      <c r="D22" s="44"/>
      <c r="E22" s="44"/>
      <c r="F22" s="44"/>
      <c r="G22" s="44"/>
      <c r="I22" s="7">
        <f t="shared" si="2"/>
        <v>0</v>
      </c>
      <c r="J22" s="1" t="str">
        <f t="shared" si="3"/>
        <v/>
      </c>
      <c r="K22" s="3" t="str">
        <f t="shared" si="1"/>
        <v/>
      </c>
    </row>
    <row r="23" spans="1:11" x14ac:dyDescent="0.15">
      <c r="A23" t="str">
        <f t="shared" ca="1" si="0"/>
        <v>Série (Jour) 19</v>
      </c>
      <c r="B23" s="44"/>
      <c r="C23" s="44"/>
      <c r="D23" s="44"/>
      <c r="E23" s="44"/>
      <c r="F23" s="44"/>
      <c r="G23" s="44"/>
      <c r="I23" s="7">
        <f t="shared" si="2"/>
        <v>0</v>
      </c>
      <c r="J23" s="1" t="str">
        <f t="shared" si="3"/>
        <v/>
      </c>
      <c r="K23" s="3" t="str">
        <f t="shared" si="1"/>
        <v/>
      </c>
    </row>
    <row r="24" spans="1:11" x14ac:dyDescent="0.15">
      <c r="A24" t="str">
        <f t="shared" ca="1" si="0"/>
        <v>Série (Jour) 20</v>
      </c>
      <c r="B24" s="44"/>
      <c r="C24" s="44"/>
      <c r="D24" s="44"/>
      <c r="E24" s="44"/>
      <c r="F24" s="44"/>
      <c r="G24" s="44"/>
      <c r="I24" s="7">
        <f t="shared" si="2"/>
        <v>0</v>
      </c>
      <c r="J24" s="1" t="str">
        <f t="shared" si="3"/>
        <v/>
      </c>
      <c r="K24" s="3" t="str">
        <f t="shared" si="1"/>
        <v/>
      </c>
    </row>
    <row r="25" spans="1:11" s="2" customFormat="1" x14ac:dyDescent="0.15">
      <c r="A25" s="2" t="str">
        <f t="shared" ca="1" si="0"/>
        <v>Résultats généraux</v>
      </c>
    </row>
    <row r="26" spans="1:11" x14ac:dyDescent="0.15">
      <c r="A26" t="str">
        <f t="shared" ca="1" si="0"/>
        <v>Nombre de séries (I)</v>
      </c>
      <c r="B26">
        <f>COUNT(B5:B24)</f>
        <v>2</v>
      </c>
    </row>
    <row r="27" spans="1:11" x14ac:dyDescent="0.15">
      <c r="A27" t="str">
        <f t="shared" ca="1" si="0"/>
        <v>Nombre de mesures (IJ)</v>
      </c>
      <c r="B27">
        <f>COUNT(B5:G24)</f>
        <v>4</v>
      </c>
    </row>
    <row r="28" spans="1:11" x14ac:dyDescent="0.15">
      <c r="A28" t="str">
        <f t="shared" ca="1" si="0"/>
        <v>Nombre de répétitions (J)</v>
      </c>
      <c r="B28">
        <f>IF(I5*B26&lt;&gt;B27,"Calcul impossible",I5)</f>
        <v>2</v>
      </c>
    </row>
    <row r="29" spans="1:11" x14ac:dyDescent="0.15">
      <c r="A29" t="str">
        <f t="shared" ca="1" si="0"/>
        <v>SCE résiduelle</v>
      </c>
      <c r="B29" s="1">
        <f>SUM(J5:J24)</f>
        <v>0.24999999999999981</v>
      </c>
    </row>
    <row r="30" spans="1:11" x14ac:dyDescent="0.15">
      <c r="A30" t="str">
        <f t="shared" ca="1" si="0"/>
        <v>SCE totale</v>
      </c>
      <c r="B30" s="1">
        <f>DEVSQ(B5:G24)</f>
        <v>0.25999999999999984</v>
      </c>
    </row>
    <row r="31" spans="1:11" x14ac:dyDescent="0.15">
      <c r="A31" t="str">
        <f t="shared" ca="1" si="0"/>
        <v>SCE inter-séries</v>
      </c>
      <c r="B31" s="1">
        <f>B30-B29</f>
        <v>1.0000000000000037E-2</v>
      </c>
    </row>
    <row r="32" spans="1:11" x14ac:dyDescent="0.15">
      <c r="A32" t="str">
        <f t="shared" ca="1" si="0"/>
        <v>Valeur intermédiaire de s²L</v>
      </c>
      <c r="B32" s="1">
        <f>((B31/(B26-1))-B33)/B28</f>
        <v>-5.7499999999999933E-2</v>
      </c>
    </row>
    <row r="33" spans="1:10" x14ac:dyDescent="0.15">
      <c r="A33" t="str">
        <f t="shared" ca="1" si="0"/>
        <v>Variance de répétabilité (s²r)</v>
      </c>
      <c r="B33" s="1">
        <f>B29/(B27-B26)</f>
        <v>0.1249999999999999</v>
      </c>
    </row>
    <row r="34" spans="1:10" x14ac:dyDescent="0.15">
      <c r="A34" t="str">
        <f t="shared" ca="1" si="0"/>
        <v>Variance inter-séries (s²L)</v>
      </c>
      <c r="B34" s="1">
        <f>IF(B32&lt;0,0,B32)</f>
        <v>0</v>
      </c>
    </row>
    <row r="35" spans="1:10" x14ac:dyDescent="0.15">
      <c r="A35" t="str">
        <f t="shared" ca="1" si="0"/>
        <v>Variance de fidélité (s²FI)</v>
      </c>
      <c r="B35" s="1">
        <f>SUM(B33:B34)</f>
        <v>0.1249999999999999</v>
      </c>
    </row>
    <row r="36" spans="1:10" s="2" customFormat="1" x14ac:dyDescent="0.15">
      <c r="A36" s="2" t="str">
        <f t="shared" ca="1" si="0"/>
        <v>Fidélité</v>
      </c>
      <c r="B36" s="4"/>
    </row>
    <row r="37" spans="1:10" x14ac:dyDescent="0.15">
      <c r="A37" t="str">
        <f t="shared" ca="1" si="0"/>
        <v>Moyenne niveau</v>
      </c>
      <c r="B37" s="1">
        <f>AVERAGE(B5:G24)</f>
        <v>1.9999999999999998</v>
      </c>
    </row>
    <row r="38" spans="1:10" ht="12" customHeight="1" x14ac:dyDescent="0.15">
      <c r="A38" t="str">
        <f t="shared" ca="1" si="0"/>
        <v>Écart-type de répétabilité (sr)</v>
      </c>
      <c r="B38" s="1">
        <f>SQRT(B33)</f>
        <v>0.35355339059327362</v>
      </c>
    </row>
    <row r="39" spans="1:10" x14ac:dyDescent="0.15">
      <c r="A39" t="str">
        <f t="shared" ca="1" si="0"/>
        <v>Écart-type inter-séries (sL)</v>
      </c>
      <c r="B39" s="1">
        <f>SQRT(B34)</f>
        <v>0</v>
      </c>
    </row>
    <row r="40" spans="1:10" x14ac:dyDescent="0.15">
      <c r="A40" t="str">
        <f t="shared" ca="1" si="0"/>
        <v>Écart-type de fidélité (sFI)</v>
      </c>
      <c r="B40" s="1">
        <f>SQRT(B35)</f>
        <v>0.35355339059327362</v>
      </c>
    </row>
    <row r="41" spans="1:10" s="2" customFormat="1" x14ac:dyDescent="0.15">
      <c r="A41" s="2" t="str">
        <f t="shared" ca="1" si="0"/>
        <v>Justesse</v>
      </c>
      <c r="B41" s="9"/>
    </row>
    <row r="42" spans="1:10" x14ac:dyDescent="0.15">
      <c r="A42" t="str">
        <f t="shared" ca="1" si="0"/>
        <v>Biais relatif (%)</v>
      </c>
      <c r="B42" s="14">
        <f>(B37/B2)-1</f>
        <v>0.24999999999999978</v>
      </c>
    </row>
    <row r="43" spans="1:10" s="2" customFormat="1" x14ac:dyDescent="0.15">
      <c r="A43" s="2" t="str">
        <f t="shared" ca="1" si="0"/>
        <v>Intervalle de tolérance (IT)</v>
      </c>
      <c r="B43" s="9"/>
    </row>
    <row r="44" spans="1:10" x14ac:dyDescent="0.15">
      <c r="A44" t="str">
        <f t="shared" ca="1" si="0"/>
        <v>Rapport des variances (R)</v>
      </c>
      <c r="B44" s="1">
        <f>B34/B33</f>
        <v>0</v>
      </c>
    </row>
    <row r="45" spans="1:10" x14ac:dyDescent="0.15">
      <c r="A45" t="str">
        <f t="shared" ca="1" si="0"/>
        <v>Coefficient B²</v>
      </c>
      <c r="B45" s="1">
        <f>(B44+1)/(B28*B44+1)</f>
        <v>1</v>
      </c>
    </row>
    <row r="46" spans="1:10" x14ac:dyDescent="0.15">
      <c r="A46" t="str">
        <f t="shared" ca="1" si="0"/>
        <v>Nombre de mesures corrigé (Ne)</v>
      </c>
      <c r="B46" s="1">
        <f>SQRT(1+1/(B27*B45))</f>
        <v>1.1180339887498949</v>
      </c>
    </row>
    <row r="47" spans="1:10" x14ac:dyDescent="0.15">
      <c r="A47" t="str">
        <f t="shared" ca="1" si="0"/>
        <v>Nombre de degrés liberté</v>
      </c>
      <c r="B47" s="1">
        <f>(B44+1)^2/((B44+1/B28)^2/(B26-1)+(1-1/B28)/B27)</f>
        <v>2.6666666666666665</v>
      </c>
      <c r="J47" s="1"/>
    </row>
    <row r="48" spans="1:10" x14ac:dyDescent="0.15">
      <c r="A48" t="str">
        <f t="shared" ca="1" si="0"/>
        <v>Probabilité tolérance (bêta)</v>
      </c>
      <c r="B48" s="16">
        <f>Bilan!C2</f>
        <v>0.8</v>
      </c>
    </row>
    <row r="49" spans="1:6" x14ac:dyDescent="0.15">
      <c r="A49" t="str">
        <f t="shared" ca="1" si="0"/>
        <v>t Student bas</v>
      </c>
      <c r="B49" s="1">
        <f>TINV(1-B48,ROUNDDOWN(B47,0))</f>
        <v>1.8856180831641269</v>
      </c>
    </row>
    <row r="50" spans="1:6" x14ac:dyDescent="0.15">
      <c r="A50" t="str">
        <f t="shared" ca="1" si="0"/>
        <v>t Student haut</v>
      </c>
      <c r="B50" s="1">
        <f>TINV(1-B48,ROUNDUP(B47,0))</f>
        <v>1.63774435369621</v>
      </c>
    </row>
    <row r="51" spans="1:6" x14ac:dyDescent="0.15">
      <c r="A51" t="str">
        <f t="shared" ca="1" si="0"/>
        <v>Facteur de couverture (ktol)</v>
      </c>
      <c r="B51" s="1">
        <f>B49-(B49-B50)*(B47-ROUNDDOWN(B47,0))</f>
        <v>1.7203689301855156</v>
      </c>
    </row>
    <row r="52" spans="1:6" x14ac:dyDescent="0.15">
      <c r="A52" t="str">
        <f t="shared" ca="1" si="0"/>
        <v>Écart-type du IT (sIT)</v>
      </c>
      <c r="B52" s="1">
        <f>B40*B46</f>
        <v>0.39528470752104727</v>
      </c>
    </row>
    <row r="53" spans="1:6" x14ac:dyDescent="0.15">
      <c r="A53" t="str">
        <f t="shared" ca="1" si="0"/>
        <v>Valeur basse intervalle tolérance</v>
      </c>
      <c r="B53" s="1">
        <f>B37-B51*B52</f>
        <v>1.3199644706033213</v>
      </c>
      <c r="F53" s="8"/>
    </row>
    <row r="54" spans="1:6" x14ac:dyDescent="0.15">
      <c r="A54" t="str">
        <f t="shared" ca="1" si="0"/>
        <v>Valeur haute intervalle tolérance</v>
      </c>
      <c r="B54" s="1">
        <f>B37+B51*B52</f>
        <v>2.6800355293966782</v>
      </c>
    </row>
    <row r="55" spans="1:6" s="2" customFormat="1" x14ac:dyDescent="0.15">
      <c r="A55" s="2" t="str">
        <f t="shared" ca="1" si="0"/>
        <v>Incertitude</v>
      </c>
      <c r="B55" s="4"/>
    </row>
    <row r="56" spans="1:6" x14ac:dyDescent="0.15">
      <c r="A56" t="str">
        <f t="shared" ca="1" si="0"/>
        <v>Incertitude-type composée</v>
      </c>
      <c r="B56" s="1">
        <f>B52</f>
        <v>0.39528470752104727</v>
      </c>
    </row>
    <row r="57" spans="1:6" x14ac:dyDescent="0.15">
      <c r="A57" t="str">
        <f t="shared" ca="1" si="0"/>
        <v>Incertitude étendue</v>
      </c>
      <c r="B57" s="1">
        <f>2*B56</f>
        <v>0.79056941504209455</v>
      </c>
    </row>
    <row r="58" spans="1:6" x14ac:dyDescent="0.15">
      <c r="A58" t="str">
        <f t="shared" ca="1" si="0"/>
        <v>Incertitude relative (%)</v>
      </c>
      <c r="B58" s="16">
        <f>B57/B2</f>
        <v>0.49410588440130909</v>
      </c>
    </row>
    <row r="59" spans="1:6" x14ac:dyDescent="0.15">
      <c r="A59" t="str">
        <f t="shared" ca="1" si="0"/>
        <v>Limite basse incertitude relative (%)</v>
      </c>
      <c r="B59" s="25">
        <f>1-B58</f>
        <v>0.50589411559869091</v>
      </c>
    </row>
    <row r="60" spans="1:6" x14ac:dyDescent="0.15">
      <c r="A60" t="str">
        <f t="shared" ca="1" si="0"/>
        <v>Limite haute incertitude relative (%)</v>
      </c>
      <c r="B60" s="25">
        <f>1+B58</f>
        <v>1.4941058844013091</v>
      </c>
    </row>
  </sheetData>
  <sheetProtection password="D828" sheet="1" objects="1" scenarios="1"/>
  <phoneticPr fontId="2" type="noConversion"/>
  <printOptions headings="1" gridLines="1"/>
  <pageMargins left="0.78740157499999996" right="0.78740157499999996" top="0.49" bottom="0.76" header="0.28000000000000003" footer="0.4921259845"/>
  <pageSetup paperSize="9" orientation="landscape" horizontalDpi="300" verticalDpi="300" r:id="rId1"/>
  <headerFooter alignWithMargins="0">
    <oddFooter>&amp;A&amp;RPage &amp;P</oddFooter>
  </headerFooter>
  <rowBreaks count="1" manualBreakCount="1">
    <brk id="54"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
  <dimension ref="A1:L60"/>
  <sheetViews>
    <sheetView zoomScaleNormal="100" workbookViewId="0">
      <selection activeCell="B39" sqref="B39"/>
    </sheetView>
  </sheetViews>
  <sheetFormatPr baseColWidth="10" defaultRowHeight="11.25" x14ac:dyDescent="0.15"/>
  <cols>
    <col min="1" max="1" width="26.875" customWidth="1"/>
    <col min="2" max="7" width="15" customWidth="1"/>
    <col min="8" max="11" width="8.125" hidden="1" customWidth="1"/>
    <col min="12" max="12" width="4.5" hidden="1" customWidth="1"/>
  </cols>
  <sheetData>
    <row r="1" spans="1:11" s="2" customFormat="1" ht="12" thickBot="1" x14ac:dyDescent="0.2">
      <c r="A1" s="2" t="str">
        <f ca="1">A!A1</f>
        <v>Niveau</v>
      </c>
      <c r="B1" s="2" t="s">
        <v>4</v>
      </c>
    </row>
    <row r="2" spans="1:11" ht="12" thickBot="1" x14ac:dyDescent="0.2">
      <c r="A2" s="2" t="str">
        <f ca="1">A!A2</f>
        <v>Valeur de référence</v>
      </c>
      <c r="B2" s="23">
        <v>3.6</v>
      </c>
    </row>
    <row r="4" spans="1:11" x14ac:dyDescent="0.15">
      <c r="B4" t="str">
        <f>A!B4</f>
        <v>Rep 1</v>
      </c>
      <c r="C4" t="str">
        <f>A!C4</f>
        <v>Rep 2</v>
      </c>
      <c r="D4" t="str">
        <f>A!D4</f>
        <v>Rep 3</v>
      </c>
      <c r="E4" t="str">
        <f>A!E4</f>
        <v>Rep 4</v>
      </c>
      <c r="F4" t="str">
        <f>A!F4</f>
        <v>Rep 5</v>
      </c>
      <c r="G4" t="str">
        <f>A!G4</f>
        <v>Rep 6</v>
      </c>
      <c r="I4" t="s">
        <v>1</v>
      </c>
      <c r="J4" t="s">
        <v>2</v>
      </c>
      <c r="K4" t="s">
        <v>81</v>
      </c>
    </row>
    <row r="5" spans="1:11" x14ac:dyDescent="0.15">
      <c r="A5" t="str">
        <f ca="1">A!A5</f>
        <v>Série (Jour) 01</v>
      </c>
      <c r="B5" s="44">
        <v>3.9</v>
      </c>
      <c r="C5" s="44">
        <v>4.2</v>
      </c>
      <c r="D5" s="44"/>
      <c r="E5" s="44"/>
      <c r="F5" s="44"/>
      <c r="G5" s="44"/>
      <c r="I5" s="7">
        <f>COUNT(B5:G5)</f>
        <v>2</v>
      </c>
      <c r="J5" s="1">
        <f>IF(I5=0,"",DEVSQ(B5:G5))</f>
        <v>4.5000000000000082E-2</v>
      </c>
      <c r="K5" s="3">
        <f t="shared" ref="K5:K24" si="0">IF(I5=0,"",AVERAGE(B5:G5))</f>
        <v>4.05</v>
      </c>
    </row>
    <row r="6" spans="1:11" x14ac:dyDescent="0.15">
      <c r="A6" t="str">
        <f ca="1">A!A6</f>
        <v>Série (Jour) 02</v>
      </c>
      <c r="B6" s="44">
        <v>3.6</v>
      </c>
      <c r="C6" s="203">
        <v>4.2</v>
      </c>
      <c r="D6" s="44"/>
      <c r="E6" s="44"/>
      <c r="F6" s="44"/>
      <c r="G6" s="44"/>
      <c r="I6" s="7">
        <f t="shared" ref="I6:I24" si="1">COUNT(B6:G6)</f>
        <v>2</v>
      </c>
      <c r="J6" s="1">
        <f t="shared" ref="J6:J24" si="2">IF(I6=0,"",DEVSQ(B6:G6))</f>
        <v>0.18000000000000005</v>
      </c>
      <c r="K6" s="3">
        <f t="shared" si="0"/>
        <v>3.9000000000000004</v>
      </c>
    </row>
    <row r="7" spans="1:11" x14ac:dyDescent="0.15">
      <c r="A7" t="str">
        <f ca="1">A!A7</f>
        <v>Série (Jour) 03</v>
      </c>
      <c r="B7" s="44"/>
      <c r="C7" s="44"/>
      <c r="D7" s="44"/>
      <c r="E7" s="44"/>
      <c r="F7" s="44"/>
      <c r="G7" s="44"/>
      <c r="I7" s="7">
        <f t="shared" si="1"/>
        <v>0</v>
      </c>
      <c r="J7" s="1" t="str">
        <f t="shared" si="2"/>
        <v/>
      </c>
      <c r="K7" s="3" t="str">
        <f t="shared" si="0"/>
        <v/>
      </c>
    </row>
    <row r="8" spans="1:11" x14ac:dyDescent="0.15">
      <c r="A8" t="str">
        <f ca="1">A!A8</f>
        <v>Série (Jour) 04</v>
      </c>
      <c r="B8" s="44"/>
      <c r="C8" s="203"/>
      <c r="D8" s="44"/>
      <c r="E8" s="44"/>
      <c r="F8" s="44"/>
      <c r="G8" s="44"/>
      <c r="I8" s="7">
        <f t="shared" si="1"/>
        <v>0</v>
      </c>
      <c r="J8" s="1" t="str">
        <f t="shared" si="2"/>
        <v/>
      </c>
      <c r="K8" s="3" t="str">
        <f t="shared" si="0"/>
        <v/>
      </c>
    </row>
    <row r="9" spans="1:11" x14ac:dyDescent="0.15">
      <c r="A9" t="str">
        <f ca="1">A!A9</f>
        <v>Série (Jour) 05</v>
      </c>
      <c r="B9" s="44"/>
      <c r="C9" s="44"/>
      <c r="D9" s="44"/>
      <c r="E9" s="44"/>
      <c r="F9" s="44"/>
      <c r="G9" s="44"/>
      <c r="I9" s="7">
        <f t="shared" si="1"/>
        <v>0</v>
      </c>
      <c r="J9" s="1" t="str">
        <f t="shared" si="2"/>
        <v/>
      </c>
      <c r="K9" s="3" t="str">
        <f t="shared" si="0"/>
        <v/>
      </c>
    </row>
    <row r="10" spans="1:11" x14ac:dyDescent="0.15">
      <c r="A10" t="str">
        <f ca="1">A!A10</f>
        <v>Série (Jour) 06</v>
      </c>
      <c r="B10" s="44"/>
      <c r="C10" s="44"/>
      <c r="D10" s="44"/>
      <c r="E10" s="44"/>
      <c r="F10" s="44"/>
      <c r="G10" s="44"/>
      <c r="I10" s="7">
        <f t="shared" si="1"/>
        <v>0</v>
      </c>
      <c r="J10" s="1" t="str">
        <f t="shared" si="2"/>
        <v/>
      </c>
      <c r="K10" s="3" t="str">
        <f t="shared" si="0"/>
        <v/>
      </c>
    </row>
    <row r="11" spans="1:11" x14ac:dyDescent="0.15">
      <c r="A11" t="str">
        <f ca="1">A!A11</f>
        <v>Série (Jour) 07</v>
      </c>
      <c r="B11" s="44"/>
      <c r="C11" s="44"/>
      <c r="D11" s="44"/>
      <c r="E11" s="44"/>
      <c r="F11" s="44"/>
      <c r="G11" s="44"/>
      <c r="I11" s="7">
        <f t="shared" si="1"/>
        <v>0</v>
      </c>
      <c r="J11" s="1" t="str">
        <f t="shared" si="2"/>
        <v/>
      </c>
      <c r="K11" s="3" t="str">
        <f t="shared" si="0"/>
        <v/>
      </c>
    </row>
    <row r="12" spans="1:11" x14ac:dyDescent="0.15">
      <c r="A12" t="str">
        <f ca="1">A!A12</f>
        <v>Série (Jour) 08</v>
      </c>
      <c r="B12" s="44"/>
      <c r="C12" s="44"/>
      <c r="D12" s="44"/>
      <c r="E12" s="44"/>
      <c r="F12" s="44"/>
      <c r="G12" s="44"/>
      <c r="I12" s="7">
        <f t="shared" si="1"/>
        <v>0</v>
      </c>
      <c r="J12" s="1" t="str">
        <f t="shared" si="2"/>
        <v/>
      </c>
      <c r="K12" s="3" t="str">
        <f t="shared" si="0"/>
        <v/>
      </c>
    </row>
    <row r="13" spans="1:11" x14ac:dyDescent="0.15">
      <c r="A13" t="str">
        <f ca="1">A!A13</f>
        <v>Série (Jour) 09</v>
      </c>
      <c r="B13" s="44"/>
      <c r="C13" s="44"/>
      <c r="D13" s="44"/>
      <c r="E13" s="44"/>
      <c r="F13" s="44"/>
      <c r="G13" s="44"/>
      <c r="I13" s="7">
        <f t="shared" si="1"/>
        <v>0</v>
      </c>
      <c r="J13" s="1" t="str">
        <f t="shared" si="2"/>
        <v/>
      </c>
      <c r="K13" s="3" t="str">
        <f t="shared" si="0"/>
        <v/>
      </c>
    </row>
    <row r="14" spans="1:11" x14ac:dyDescent="0.15">
      <c r="A14" t="str">
        <f ca="1">A!A14</f>
        <v>Série (Jour) 10</v>
      </c>
      <c r="B14" s="44"/>
      <c r="C14" s="44"/>
      <c r="D14" s="44"/>
      <c r="E14" s="44"/>
      <c r="F14" s="44"/>
      <c r="G14" s="44"/>
      <c r="I14" s="7">
        <f t="shared" si="1"/>
        <v>0</v>
      </c>
      <c r="J14" s="1" t="str">
        <f t="shared" si="2"/>
        <v/>
      </c>
      <c r="K14" s="3" t="str">
        <f t="shared" si="0"/>
        <v/>
      </c>
    </row>
    <row r="15" spans="1:11" x14ac:dyDescent="0.15">
      <c r="A15" t="str">
        <f ca="1">A!A15</f>
        <v>Série (Jour) 11</v>
      </c>
      <c r="B15" s="44"/>
      <c r="C15" s="44"/>
      <c r="D15" s="44"/>
      <c r="E15" s="44"/>
      <c r="F15" s="44"/>
      <c r="G15" s="44"/>
      <c r="I15" s="7">
        <f t="shared" si="1"/>
        <v>0</v>
      </c>
      <c r="J15" s="1" t="str">
        <f t="shared" si="2"/>
        <v/>
      </c>
      <c r="K15" s="3" t="str">
        <f t="shared" si="0"/>
        <v/>
      </c>
    </row>
    <row r="16" spans="1:11" x14ac:dyDescent="0.15">
      <c r="A16" t="str">
        <f ca="1">A!A16</f>
        <v>Série (Jour) 12</v>
      </c>
      <c r="B16" s="44"/>
      <c r="C16" s="44"/>
      <c r="D16" s="44"/>
      <c r="E16" s="44"/>
      <c r="F16" s="44"/>
      <c r="G16" s="44"/>
      <c r="I16" s="7">
        <f t="shared" si="1"/>
        <v>0</v>
      </c>
      <c r="J16" s="1" t="str">
        <f t="shared" si="2"/>
        <v/>
      </c>
      <c r="K16" s="3" t="str">
        <f t="shared" si="0"/>
        <v/>
      </c>
    </row>
    <row r="17" spans="1:11" x14ac:dyDescent="0.15">
      <c r="A17" t="str">
        <f ca="1">A!A17</f>
        <v>Série (Jour) 13</v>
      </c>
      <c r="B17" s="44"/>
      <c r="C17" s="44"/>
      <c r="D17" s="44"/>
      <c r="E17" s="44"/>
      <c r="F17" s="44"/>
      <c r="G17" s="44"/>
      <c r="I17" s="7">
        <f t="shared" si="1"/>
        <v>0</v>
      </c>
      <c r="J17" s="1" t="str">
        <f t="shared" si="2"/>
        <v/>
      </c>
      <c r="K17" s="3" t="str">
        <f t="shared" si="0"/>
        <v/>
      </c>
    </row>
    <row r="18" spans="1:11" x14ac:dyDescent="0.15">
      <c r="A18" t="str">
        <f ca="1">A!A18</f>
        <v>Série (Jour) 14</v>
      </c>
      <c r="B18" s="44"/>
      <c r="C18" s="44"/>
      <c r="D18" s="44"/>
      <c r="E18" s="44"/>
      <c r="F18" s="44"/>
      <c r="G18" s="44"/>
      <c r="I18" s="7">
        <f t="shared" si="1"/>
        <v>0</v>
      </c>
      <c r="J18" s="1" t="str">
        <f t="shared" si="2"/>
        <v/>
      </c>
      <c r="K18" s="3" t="str">
        <f t="shared" si="0"/>
        <v/>
      </c>
    </row>
    <row r="19" spans="1:11" x14ac:dyDescent="0.15">
      <c r="A19" t="str">
        <f ca="1">A!A19</f>
        <v>Série (Jour) 15</v>
      </c>
      <c r="B19" s="44"/>
      <c r="C19" s="44"/>
      <c r="D19" s="44"/>
      <c r="E19" s="44"/>
      <c r="F19" s="44"/>
      <c r="G19" s="44"/>
      <c r="I19" s="7">
        <f t="shared" si="1"/>
        <v>0</v>
      </c>
      <c r="J19" s="1" t="str">
        <f t="shared" si="2"/>
        <v/>
      </c>
      <c r="K19" s="3" t="str">
        <f t="shared" si="0"/>
        <v/>
      </c>
    </row>
    <row r="20" spans="1:11" x14ac:dyDescent="0.15">
      <c r="A20" t="str">
        <f ca="1">A!A20</f>
        <v>Série (Jour) 16</v>
      </c>
      <c r="B20" s="44"/>
      <c r="C20" s="44"/>
      <c r="D20" s="44"/>
      <c r="E20" s="44"/>
      <c r="F20" s="44"/>
      <c r="G20" s="44"/>
      <c r="I20" s="7">
        <f t="shared" si="1"/>
        <v>0</v>
      </c>
      <c r="J20" s="1" t="str">
        <f t="shared" si="2"/>
        <v/>
      </c>
      <c r="K20" s="3" t="str">
        <f t="shared" si="0"/>
        <v/>
      </c>
    </row>
    <row r="21" spans="1:11" x14ac:dyDescent="0.15">
      <c r="A21" t="str">
        <f ca="1">A!A21</f>
        <v>Série (Jour) 17</v>
      </c>
      <c r="B21" s="44"/>
      <c r="C21" s="44"/>
      <c r="D21" s="44"/>
      <c r="E21" s="44"/>
      <c r="F21" s="44"/>
      <c r="G21" s="44"/>
      <c r="I21" s="7">
        <f t="shared" si="1"/>
        <v>0</v>
      </c>
      <c r="J21" s="1" t="str">
        <f t="shared" si="2"/>
        <v/>
      </c>
      <c r="K21" s="3" t="str">
        <f t="shared" si="0"/>
        <v/>
      </c>
    </row>
    <row r="22" spans="1:11" x14ac:dyDescent="0.15">
      <c r="A22" t="str">
        <f ca="1">A!A22</f>
        <v>Série (Jour) 18</v>
      </c>
      <c r="B22" s="44"/>
      <c r="C22" s="44"/>
      <c r="D22" s="44"/>
      <c r="E22" s="44"/>
      <c r="F22" s="44"/>
      <c r="G22" s="44"/>
      <c r="I22" s="7">
        <f t="shared" si="1"/>
        <v>0</v>
      </c>
      <c r="J22" s="1" t="str">
        <f t="shared" si="2"/>
        <v/>
      </c>
      <c r="K22" s="3" t="str">
        <f t="shared" si="0"/>
        <v/>
      </c>
    </row>
    <row r="23" spans="1:11" x14ac:dyDescent="0.15">
      <c r="A23" t="str">
        <f ca="1">A!A23</f>
        <v>Série (Jour) 19</v>
      </c>
      <c r="B23" s="44"/>
      <c r="C23" s="44"/>
      <c r="D23" s="44"/>
      <c r="E23" s="44"/>
      <c r="F23" s="44"/>
      <c r="G23" s="44"/>
      <c r="I23" s="7">
        <f t="shared" si="1"/>
        <v>0</v>
      </c>
      <c r="J23" s="1" t="str">
        <f t="shared" si="2"/>
        <v/>
      </c>
      <c r="K23" s="3" t="str">
        <f t="shared" si="0"/>
        <v/>
      </c>
    </row>
    <row r="24" spans="1:11" x14ac:dyDescent="0.15">
      <c r="A24" t="str">
        <f ca="1">A!A24</f>
        <v>Série (Jour) 20</v>
      </c>
      <c r="B24" s="44"/>
      <c r="C24" s="44"/>
      <c r="D24" s="44"/>
      <c r="E24" s="44"/>
      <c r="F24" s="44"/>
      <c r="G24" s="44"/>
      <c r="I24" s="7">
        <f t="shared" si="1"/>
        <v>0</v>
      </c>
      <c r="J24" s="1" t="str">
        <f t="shared" si="2"/>
        <v/>
      </c>
      <c r="K24" s="3" t="str">
        <f t="shared" si="0"/>
        <v/>
      </c>
    </row>
    <row r="25" spans="1:11" s="2" customFormat="1" x14ac:dyDescent="0.15"/>
    <row r="26" spans="1:11" x14ac:dyDescent="0.15">
      <c r="A26" t="str">
        <f ca="1">A!A26</f>
        <v>Nombre de séries (I)</v>
      </c>
      <c r="B26">
        <f>COUNT(B5:B24)</f>
        <v>2</v>
      </c>
    </row>
    <row r="27" spans="1:11" x14ac:dyDescent="0.15">
      <c r="A27" t="str">
        <f ca="1">A!A27</f>
        <v>Nombre de mesures (IJ)</v>
      </c>
      <c r="B27">
        <f>COUNT(B5:G24)</f>
        <v>4</v>
      </c>
    </row>
    <row r="28" spans="1:11" x14ac:dyDescent="0.15">
      <c r="A28" t="str">
        <f ca="1">A!A28</f>
        <v>Nombre de répétitions (J)</v>
      </c>
      <c r="B28">
        <f>IF(I5*B26&lt;&gt;B27,"Calcul impossible",I5)</f>
        <v>2</v>
      </c>
    </row>
    <row r="29" spans="1:11" x14ac:dyDescent="0.15">
      <c r="A29" t="str">
        <f ca="1">A!A29</f>
        <v>SCE résiduelle</v>
      </c>
      <c r="B29" s="1">
        <f>SUM(J5:J24)</f>
        <v>0.22500000000000014</v>
      </c>
    </row>
    <row r="30" spans="1:11" x14ac:dyDescent="0.15">
      <c r="A30" t="str">
        <f ca="1">A!A30</f>
        <v>SCE totale</v>
      </c>
      <c r="B30" s="1">
        <f>DEVSQ(B5:G24)</f>
        <v>0.24750000000000011</v>
      </c>
    </row>
    <row r="31" spans="1:11" x14ac:dyDescent="0.15">
      <c r="A31" t="str">
        <f ca="1">A!A31</f>
        <v>SCE inter-séries</v>
      </c>
      <c r="B31" s="1">
        <f>B30-B29</f>
        <v>2.2499999999999964E-2</v>
      </c>
    </row>
    <row r="32" spans="1:11" x14ac:dyDescent="0.15">
      <c r="A32" t="str">
        <f ca="1">A!A32</f>
        <v>Valeur intermédiaire de s²L</v>
      </c>
      <c r="B32" s="1">
        <f>((B31/(B26-1))-B33)/B28</f>
        <v>-4.5000000000000054E-2</v>
      </c>
    </row>
    <row r="33" spans="1:10" x14ac:dyDescent="0.15">
      <c r="A33" t="str">
        <f ca="1">A!A33</f>
        <v>Variance de répétabilité (s²r)</v>
      </c>
      <c r="B33" s="1">
        <f>B29/(B27-B26)</f>
        <v>0.11250000000000007</v>
      </c>
    </row>
    <row r="34" spans="1:10" x14ac:dyDescent="0.15">
      <c r="A34" t="str">
        <f ca="1">A!A34</f>
        <v>Variance inter-séries (s²L)</v>
      </c>
      <c r="B34" s="1">
        <f>IF(B32&lt;0,0,B32)</f>
        <v>0</v>
      </c>
    </row>
    <row r="35" spans="1:10" x14ac:dyDescent="0.15">
      <c r="A35" t="str">
        <f ca="1">A!A35</f>
        <v>Variance de fidélité (s²FI)</v>
      </c>
      <c r="B35" s="1">
        <f>SUM(B33:B34)</f>
        <v>0.11250000000000007</v>
      </c>
    </row>
    <row r="36" spans="1:10" s="2" customFormat="1" x14ac:dyDescent="0.15">
      <c r="A36" s="2" t="str">
        <f ca="1">A!A36</f>
        <v>Fidélité</v>
      </c>
      <c r="B36" s="4"/>
    </row>
    <row r="37" spans="1:10" x14ac:dyDescent="0.15">
      <c r="A37" t="str">
        <f ca="1">A!A37</f>
        <v>Moyenne niveau</v>
      </c>
      <c r="B37" s="1">
        <f>AVERAGE(B5:G24)</f>
        <v>3.9749999999999996</v>
      </c>
    </row>
    <row r="38" spans="1:10" ht="12" customHeight="1" x14ac:dyDescent="0.15">
      <c r="A38" t="str">
        <f ca="1">A!A38</f>
        <v>Écart-type de répétabilité (sr)</v>
      </c>
      <c r="B38" s="1">
        <f>SQRT(B33)</f>
        <v>0.33541019662496857</v>
      </c>
    </row>
    <row r="39" spans="1:10" x14ac:dyDescent="0.15">
      <c r="A39" t="str">
        <f ca="1">A!A39</f>
        <v>Écart-type inter-séries (sL)</v>
      </c>
      <c r="B39" s="1">
        <f>SQRT(B34)</f>
        <v>0</v>
      </c>
    </row>
    <row r="40" spans="1:10" x14ac:dyDescent="0.15">
      <c r="A40" t="str">
        <f ca="1">A!A40</f>
        <v>Écart-type de fidélité (sFI)</v>
      </c>
      <c r="B40" s="1">
        <f>SQRT(B35)</f>
        <v>0.33541019662496857</v>
      </c>
    </row>
    <row r="41" spans="1:10" s="2" customFormat="1" x14ac:dyDescent="0.15">
      <c r="A41" s="2" t="str">
        <f ca="1">A!A41</f>
        <v>Justesse</v>
      </c>
      <c r="B41" s="9"/>
    </row>
    <row r="42" spans="1:10" x14ac:dyDescent="0.15">
      <c r="A42" t="str">
        <f ca="1">A!A42</f>
        <v>Biais relatif (%)</v>
      </c>
      <c r="B42" s="14">
        <f>(B37/B2)-1</f>
        <v>0.10416666666666652</v>
      </c>
    </row>
    <row r="43" spans="1:10" s="2" customFormat="1" x14ac:dyDescent="0.15">
      <c r="A43" s="2" t="str">
        <f ca="1">A!A43</f>
        <v>Intervalle de tolérance (IT)</v>
      </c>
      <c r="B43" s="9"/>
    </row>
    <row r="44" spans="1:10" x14ac:dyDescent="0.15">
      <c r="A44" t="str">
        <f ca="1">A!A44</f>
        <v>Rapport des variances (R)</v>
      </c>
      <c r="B44" s="1">
        <f>B34/B33</f>
        <v>0</v>
      </c>
    </row>
    <row r="45" spans="1:10" x14ac:dyDescent="0.15">
      <c r="A45" t="str">
        <f ca="1">A!A45</f>
        <v>Coefficient B²</v>
      </c>
      <c r="B45" s="1">
        <f>(B44+1)/(B28*B44+1)</f>
        <v>1</v>
      </c>
    </row>
    <row r="46" spans="1:10" x14ac:dyDescent="0.15">
      <c r="A46" t="str">
        <f ca="1">A!A46</f>
        <v>Nombre de mesures corrigé (Ne)</v>
      </c>
      <c r="B46" s="1">
        <f>SQRT(1+1/(B27*B45))</f>
        <v>1.1180339887498949</v>
      </c>
    </row>
    <row r="47" spans="1:10" x14ac:dyDescent="0.15">
      <c r="A47" t="str">
        <f ca="1">A!A47</f>
        <v>Nombre de degrés liberté</v>
      </c>
      <c r="B47" s="1">
        <f>(B44+1)^2/((B44+1/B28)^2/(B26-1)+(1-1/B28)/B27)</f>
        <v>2.6666666666666665</v>
      </c>
      <c r="J47" s="1"/>
    </row>
    <row r="48" spans="1:10" x14ac:dyDescent="0.15">
      <c r="A48" t="str">
        <f ca="1">A!A48</f>
        <v>Probabilité tolérance (bêta)</v>
      </c>
      <c r="B48" s="16">
        <f>Bilan!C2</f>
        <v>0.8</v>
      </c>
    </row>
    <row r="49" spans="1:2" x14ac:dyDescent="0.15">
      <c r="A49" t="str">
        <f ca="1">A!A49</f>
        <v>t Student bas</v>
      </c>
      <c r="B49" s="1">
        <f>TINV(1-B48,ROUNDDOWN(B47,0))</f>
        <v>1.8856180831641269</v>
      </c>
    </row>
    <row r="50" spans="1:2" x14ac:dyDescent="0.15">
      <c r="A50" t="str">
        <f ca="1">A!A50</f>
        <v>t Student haut</v>
      </c>
      <c r="B50" s="1">
        <f>TINV(1-B48,ROUNDUP(B47,0))</f>
        <v>1.63774435369621</v>
      </c>
    </row>
    <row r="51" spans="1:2" x14ac:dyDescent="0.15">
      <c r="A51" t="str">
        <f ca="1">A!A51</f>
        <v>Facteur de couverture (ktol)</v>
      </c>
      <c r="B51" s="1">
        <f>B49-(B49-B50)*(B47-ROUNDDOWN(B47,0))</f>
        <v>1.7203689301855156</v>
      </c>
    </row>
    <row r="52" spans="1:2" x14ac:dyDescent="0.15">
      <c r="A52" t="str">
        <f ca="1">A!A52</f>
        <v>Écart-type du IT (sIT)</v>
      </c>
      <c r="B52" s="1">
        <f>B40*B46</f>
        <v>0.37500000000000017</v>
      </c>
    </row>
    <row r="53" spans="1:2" x14ac:dyDescent="0.15">
      <c r="A53" t="str">
        <f ca="1">A!A53</f>
        <v>Valeur basse intervalle tolérance</v>
      </c>
      <c r="B53" s="1">
        <f>B37-B51*B52</f>
        <v>3.3298616511804311</v>
      </c>
    </row>
    <row r="54" spans="1:2" x14ac:dyDescent="0.15">
      <c r="A54" t="str">
        <f ca="1">A!A54</f>
        <v>Valeur haute intervalle tolérance</v>
      </c>
      <c r="B54" s="1">
        <f>B37+B51*B52</f>
        <v>4.6201383488195686</v>
      </c>
    </row>
    <row r="55" spans="1:2" s="2" customFormat="1" x14ac:dyDescent="0.15">
      <c r="A55" s="2" t="str">
        <f ca="1">A!A55</f>
        <v>Incertitude</v>
      </c>
      <c r="B55" s="4"/>
    </row>
    <row r="56" spans="1:2" x14ac:dyDescent="0.15">
      <c r="A56" t="str">
        <f ca="1">A!A56</f>
        <v>Incertitude-type composée</v>
      </c>
      <c r="B56" s="1">
        <f>B52</f>
        <v>0.37500000000000017</v>
      </c>
    </row>
    <row r="57" spans="1:2" x14ac:dyDescent="0.15">
      <c r="A57" t="str">
        <f ca="1">A!A57</f>
        <v>Incertitude étendue</v>
      </c>
      <c r="B57" s="1">
        <f>2*B56</f>
        <v>0.75000000000000033</v>
      </c>
    </row>
    <row r="58" spans="1:2" x14ac:dyDescent="0.15">
      <c r="A58" t="str">
        <f ca="1">A!A58</f>
        <v>Incertitude relative (%)</v>
      </c>
      <c r="B58" s="16">
        <f>B57/B2</f>
        <v>0.20833333333333343</v>
      </c>
    </row>
    <row r="59" spans="1:2" x14ac:dyDescent="0.15">
      <c r="A59" t="str">
        <f ca="1">A!A59</f>
        <v>Limite basse incertitude relative (%)</v>
      </c>
      <c r="B59" s="25">
        <f>1-B58</f>
        <v>0.79166666666666652</v>
      </c>
    </row>
    <row r="60" spans="1:2" x14ac:dyDescent="0.15">
      <c r="A60" t="str">
        <f ca="1">A!A60</f>
        <v>Limite haute incertitude relative (%)</v>
      </c>
      <c r="B60" s="25">
        <f>1+B58</f>
        <v>1.2083333333333335</v>
      </c>
    </row>
  </sheetData>
  <sheetProtection password="D828" sheet="1" objects="1" scenarios="1"/>
  <phoneticPr fontId="2" type="noConversion"/>
  <printOptions headings="1" gridLines="1"/>
  <pageMargins left="0.78740157499999996" right="0.78740157499999996" top="0.54" bottom="0.56999999999999995" header="0.32" footer="0.34"/>
  <pageSetup paperSize="9" scale="96" orientation="landscape" horizontalDpi="300" verticalDpi="300" r:id="rId1"/>
  <headerFooter alignWithMargins="0">
    <oddFooter>&amp;A&amp;RPage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K60"/>
  <sheetViews>
    <sheetView zoomScaleNormal="100" workbookViewId="0">
      <selection activeCell="B40" sqref="B40"/>
    </sheetView>
  </sheetViews>
  <sheetFormatPr baseColWidth="10" defaultRowHeight="11.25" x14ac:dyDescent="0.15"/>
  <cols>
    <col min="1" max="1" width="26.875" customWidth="1"/>
    <col min="2" max="7" width="15" customWidth="1"/>
    <col min="8" max="11" width="8.125" hidden="1" customWidth="1"/>
    <col min="12" max="12" width="4.5" customWidth="1"/>
  </cols>
  <sheetData>
    <row r="1" spans="1:11" s="2" customFormat="1" ht="12" thickBot="1" x14ac:dyDescent="0.2">
      <c r="A1" s="2" t="str">
        <f ca="1">A!A1</f>
        <v>Niveau</v>
      </c>
      <c r="B1" s="2" t="s">
        <v>5</v>
      </c>
    </row>
    <row r="2" spans="1:11" ht="12" thickBot="1" x14ac:dyDescent="0.2">
      <c r="A2" s="2" t="str">
        <f ca="1">A!A2</f>
        <v>Valeur de référence</v>
      </c>
      <c r="B2" s="23">
        <v>5.6</v>
      </c>
    </row>
    <row r="4" spans="1:11" x14ac:dyDescent="0.15">
      <c r="B4" t="str">
        <f>A!B4</f>
        <v>Rep 1</v>
      </c>
      <c r="C4" t="str">
        <f>A!C4</f>
        <v>Rep 2</v>
      </c>
      <c r="D4" t="str">
        <f>A!D4</f>
        <v>Rep 3</v>
      </c>
      <c r="E4" t="str">
        <f>A!E4</f>
        <v>Rep 4</v>
      </c>
      <c r="F4" t="str">
        <f>A!F4</f>
        <v>Rep 5</v>
      </c>
      <c r="G4" t="str">
        <f>A!G4</f>
        <v>Rep 6</v>
      </c>
      <c r="I4" t="s">
        <v>1</v>
      </c>
      <c r="J4" t="s">
        <v>2</v>
      </c>
      <c r="K4" t="s">
        <v>81</v>
      </c>
    </row>
    <row r="5" spans="1:11" x14ac:dyDescent="0.15">
      <c r="A5" t="str">
        <f ca="1">A!A5</f>
        <v>Série (Jour) 01</v>
      </c>
      <c r="B5" s="44">
        <v>6</v>
      </c>
      <c r="C5" s="44">
        <v>6</v>
      </c>
      <c r="D5" s="44"/>
      <c r="E5" s="44"/>
      <c r="F5" s="44"/>
      <c r="G5" s="44"/>
      <c r="I5" s="7">
        <f>COUNT(B5:G5)</f>
        <v>2</v>
      </c>
      <c r="J5" s="1">
        <f>IF(I5=0,"",DEVSQ(B5:G5))</f>
        <v>0</v>
      </c>
      <c r="K5" s="3">
        <f t="shared" ref="K5:K24" si="0">IF(I5=0,"",AVERAGE(B5:G5))</f>
        <v>6</v>
      </c>
    </row>
    <row r="6" spans="1:11" x14ac:dyDescent="0.15">
      <c r="A6" t="str">
        <f ca="1">A!A6</f>
        <v>Série (Jour) 02</v>
      </c>
      <c r="B6" s="44">
        <v>5.4</v>
      </c>
      <c r="C6" s="44">
        <v>6.3</v>
      </c>
      <c r="D6" s="44"/>
      <c r="E6" s="44"/>
      <c r="F6" s="44"/>
      <c r="G6" s="44"/>
      <c r="I6" s="7">
        <f t="shared" ref="I6:I24" si="1">COUNT(B6:G6)</f>
        <v>2</v>
      </c>
      <c r="J6" s="1">
        <f t="shared" ref="J6:J24" si="2">IF(I6=0,"",DEVSQ(B6:G6))</f>
        <v>0.40499999999999947</v>
      </c>
      <c r="K6" s="3">
        <f t="shared" si="0"/>
        <v>5.85</v>
      </c>
    </row>
    <row r="7" spans="1:11" x14ac:dyDescent="0.15">
      <c r="A7" t="str">
        <f ca="1">A!A7</f>
        <v>Série (Jour) 03</v>
      </c>
      <c r="B7" s="44"/>
      <c r="C7" s="44"/>
      <c r="D7" s="44"/>
      <c r="E7" s="44"/>
      <c r="F7" s="44"/>
      <c r="G7" s="44"/>
      <c r="I7" s="7">
        <f t="shared" si="1"/>
        <v>0</v>
      </c>
      <c r="J7" s="1" t="str">
        <f t="shared" si="2"/>
        <v/>
      </c>
      <c r="K7" s="3" t="str">
        <f t="shared" si="0"/>
        <v/>
      </c>
    </row>
    <row r="8" spans="1:11" x14ac:dyDescent="0.15">
      <c r="A8" t="str">
        <f ca="1">A!A8</f>
        <v>Série (Jour) 04</v>
      </c>
      <c r="B8" s="44"/>
      <c r="C8" s="44"/>
      <c r="D8" s="44"/>
      <c r="E8" s="44"/>
      <c r="F8" s="44"/>
      <c r="G8" s="44"/>
      <c r="I8" s="7">
        <f t="shared" si="1"/>
        <v>0</v>
      </c>
      <c r="J8" s="1" t="str">
        <f t="shared" si="2"/>
        <v/>
      </c>
      <c r="K8" s="3" t="str">
        <f t="shared" si="0"/>
        <v/>
      </c>
    </row>
    <row r="9" spans="1:11" x14ac:dyDescent="0.15">
      <c r="A9" t="str">
        <f ca="1">A!A9</f>
        <v>Série (Jour) 05</v>
      </c>
      <c r="B9" s="44"/>
      <c r="C9" s="44"/>
      <c r="D9" s="44"/>
      <c r="E9" s="44"/>
      <c r="F9" s="44"/>
      <c r="G9" s="44"/>
      <c r="I9" s="7">
        <f t="shared" si="1"/>
        <v>0</v>
      </c>
      <c r="J9" s="1" t="str">
        <f t="shared" si="2"/>
        <v/>
      </c>
      <c r="K9" s="3" t="str">
        <f t="shared" si="0"/>
        <v/>
      </c>
    </row>
    <row r="10" spans="1:11" x14ac:dyDescent="0.15">
      <c r="A10" t="str">
        <f ca="1">A!A10</f>
        <v>Série (Jour) 06</v>
      </c>
      <c r="B10" s="44"/>
      <c r="C10" s="44"/>
      <c r="D10" s="44"/>
      <c r="E10" s="44"/>
      <c r="F10" s="44"/>
      <c r="G10" s="44"/>
      <c r="I10" s="7">
        <f t="shared" si="1"/>
        <v>0</v>
      </c>
      <c r="J10" s="1" t="str">
        <f t="shared" si="2"/>
        <v/>
      </c>
      <c r="K10" s="3" t="str">
        <f t="shared" si="0"/>
        <v/>
      </c>
    </row>
    <row r="11" spans="1:11" x14ac:dyDescent="0.15">
      <c r="A11" t="str">
        <f ca="1">A!A11</f>
        <v>Série (Jour) 07</v>
      </c>
      <c r="B11" s="44"/>
      <c r="C11" s="44"/>
      <c r="D11" s="44"/>
      <c r="E11" s="44"/>
      <c r="F11" s="44"/>
      <c r="G11" s="44"/>
      <c r="I11" s="7">
        <f t="shared" si="1"/>
        <v>0</v>
      </c>
      <c r="J11" s="1" t="str">
        <f t="shared" si="2"/>
        <v/>
      </c>
      <c r="K11" s="3" t="str">
        <f t="shared" si="0"/>
        <v/>
      </c>
    </row>
    <row r="12" spans="1:11" x14ac:dyDescent="0.15">
      <c r="A12" t="str">
        <f ca="1">A!A12</f>
        <v>Série (Jour) 08</v>
      </c>
      <c r="B12" s="44"/>
      <c r="C12" s="44"/>
      <c r="D12" s="44"/>
      <c r="E12" s="44"/>
      <c r="F12" s="44"/>
      <c r="G12" s="44"/>
      <c r="I12" s="7">
        <f t="shared" si="1"/>
        <v>0</v>
      </c>
      <c r="J12" s="1" t="str">
        <f t="shared" si="2"/>
        <v/>
      </c>
      <c r="K12" s="3" t="str">
        <f t="shared" si="0"/>
        <v/>
      </c>
    </row>
    <row r="13" spans="1:11" x14ac:dyDescent="0.15">
      <c r="A13" t="str">
        <f ca="1">A!A13</f>
        <v>Série (Jour) 09</v>
      </c>
      <c r="B13" s="44"/>
      <c r="C13" s="44"/>
      <c r="D13" s="44"/>
      <c r="E13" s="44"/>
      <c r="F13" s="44"/>
      <c r="G13" s="44"/>
      <c r="I13" s="7">
        <f t="shared" si="1"/>
        <v>0</v>
      </c>
      <c r="J13" s="1" t="str">
        <f t="shared" si="2"/>
        <v/>
      </c>
      <c r="K13" s="3" t="str">
        <f t="shared" si="0"/>
        <v/>
      </c>
    </row>
    <row r="14" spans="1:11" x14ac:dyDescent="0.15">
      <c r="A14" t="str">
        <f ca="1">A!A14</f>
        <v>Série (Jour) 10</v>
      </c>
      <c r="B14" s="44"/>
      <c r="C14" s="44"/>
      <c r="D14" s="44"/>
      <c r="E14" s="44"/>
      <c r="F14" s="44"/>
      <c r="G14" s="44"/>
      <c r="I14" s="7">
        <f t="shared" si="1"/>
        <v>0</v>
      </c>
      <c r="J14" s="1" t="str">
        <f t="shared" si="2"/>
        <v/>
      </c>
      <c r="K14" s="3" t="str">
        <f t="shared" si="0"/>
        <v/>
      </c>
    </row>
    <row r="15" spans="1:11" x14ac:dyDescent="0.15">
      <c r="A15" t="str">
        <f ca="1">A!A15</f>
        <v>Série (Jour) 11</v>
      </c>
      <c r="B15" s="44"/>
      <c r="C15" s="44"/>
      <c r="D15" s="44"/>
      <c r="E15" s="44"/>
      <c r="F15" s="44"/>
      <c r="G15" s="44"/>
      <c r="I15" s="7">
        <f t="shared" si="1"/>
        <v>0</v>
      </c>
      <c r="J15" s="1" t="str">
        <f t="shared" si="2"/>
        <v/>
      </c>
      <c r="K15" s="3" t="str">
        <f t="shared" si="0"/>
        <v/>
      </c>
    </row>
    <row r="16" spans="1:11" x14ac:dyDescent="0.15">
      <c r="A16" t="str">
        <f ca="1">A!A16</f>
        <v>Série (Jour) 12</v>
      </c>
      <c r="B16" s="44"/>
      <c r="C16" s="44"/>
      <c r="D16" s="44"/>
      <c r="E16" s="44"/>
      <c r="F16" s="44"/>
      <c r="G16" s="44"/>
      <c r="I16" s="7">
        <f t="shared" si="1"/>
        <v>0</v>
      </c>
      <c r="J16" s="1" t="str">
        <f t="shared" si="2"/>
        <v/>
      </c>
      <c r="K16" s="3" t="str">
        <f t="shared" si="0"/>
        <v/>
      </c>
    </row>
    <row r="17" spans="1:11" x14ac:dyDescent="0.15">
      <c r="A17" t="str">
        <f ca="1">A!A17</f>
        <v>Série (Jour) 13</v>
      </c>
      <c r="B17" s="44"/>
      <c r="C17" s="44"/>
      <c r="D17" s="44"/>
      <c r="E17" s="44"/>
      <c r="F17" s="44"/>
      <c r="G17" s="44"/>
      <c r="I17" s="7">
        <f t="shared" si="1"/>
        <v>0</v>
      </c>
      <c r="J17" s="1" t="str">
        <f t="shared" si="2"/>
        <v/>
      </c>
      <c r="K17" s="3" t="str">
        <f t="shared" si="0"/>
        <v/>
      </c>
    </row>
    <row r="18" spans="1:11" x14ac:dyDescent="0.15">
      <c r="A18" t="str">
        <f ca="1">A!A18</f>
        <v>Série (Jour) 14</v>
      </c>
      <c r="B18" s="44"/>
      <c r="C18" s="44"/>
      <c r="D18" s="44"/>
      <c r="E18" s="44"/>
      <c r="F18" s="44"/>
      <c r="G18" s="44"/>
      <c r="I18" s="7">
        <f t="shared" si="1"/>
        <v>0</v>
      </c>
      <c r="J18" s="1" t="str">
        <f t="shared" si="2"/>
        <v/>
      </c>
      <c r="K18" s="3" t="str">
        <f t="shared" si="0"/>
        <v/>
      </c>
    </row>
    <row r="19" spans="1:11" x14ac:dyDescent="0.15">
      <c r="A19" t="str">
        <f ca="1">A!A19</f>
        <v>Série (Jour) 15</v>
      </c>
      <c r="B19" s="44"/>
      <c r="C19" s="44"/>
      <c r="D19" s="44"/>
      <c r="E19" s="44"/>
      <c r="F19" s="44"/>
      <c r="G19" s="44"/>
      <c r="I19" s="7">
        <f t="shared" si="1"/>
        <v>0</v>
      </c>
      <c r="J19" s="1" t="str">
        <f t="shared" si="2"/>
        <v/>
      </c>
      <c r="K19" s="3" t="str">
        <f t="shared" si="0"/>
        <v/>
      </c>
    </row>
    <row r="20" spans="1:11" x14ac:dyDescent="0.15">
      <c r="A20" t="str">
        <f ca="1">A!A20</f>
        <v>Série (Jour) 16</v>
      </c>
      <c r="B20" s="44"/>
      <c r="C20" s="44"/>
      <c r="D20" s="44"/>
      <c r="E20" s="44"/>
      <c r="F20" s="44"/>
      <c r="G20" s="44"/>
      <c r="I20" s="7">
        <f t="shared" si="1"/>
        <v>0</v>
      </c>
      <c r="J20" s="1" t="str">
        <f t="shared" si="2"/>
        <v/>
      </c>
      <c r="K20" s="3" t="str">
        <f t="shared" si="0"/>
        <v/>
      </c>
    </row>
    <row r="21" spans="1:11" x14ac:dyDescent="0.15">
      <c r="A21" t="str">
        <f ca="1">A!A21</f>
        <v>Série (Jour) 17</v>
      </c>
      <c r="B21" s="44"/>
      <c r="C21" s="44"/>
      <c r="D21" s="44"/>
      <c r="E21" s="44"/>
      <c r="F21" s="44"/>
      <c r="G21" s="44"/>
      <c r="I21" s="7">
        <f t="shared" si="1"/>
        <v>0</v>
      </c>
      <c r="J21" s="1" t="str">
        <f t="shared" si="2"/>
        <v/>
      </c>
      <c r="K21" s="3" t="str">
        <f t="shared" si="0"/>
        <v/>
      </c>
    </row>
    <row r="22" spans="1:11" x14ac:dyDescent="0.15">
      <c r="A22" t="str">
        <f ca="1">A!A22</f>
        <v>Série (Jour) 18</v>
      </c>
      <c r="B22" s="44"/>
      <c r="C22" s="44"/>
      <c r="D22" s="44"/>
      <c r="E22" s="44"/>
      <c r="F22" s="44"/>
      <c r="G22" s="44"/>
      <c r="I22" s="7">
        <f t="shared" si="1"/>
        <v>0</v>
      </c>
      <c r="J22" s="1" t="str">
        <f t="shared" si="2"/>
        <v/>
      </c>
      <c r="K22" s="3" t="str">
        <f t="shared" si="0"/>
        <v/>
      </c>
    </row>
    <row r="23" spans="1:11" x14ac:dyDescent="0.15">
      <c r="A23" t="str">
        <f ca="1">A!A23</f>
        <v>Série (Jour) 19</v>
      </c>
      <c r="B23" s="44"/>
      <c r="C23" s="44"/>
      <c r="D23" s="44"/>
      <c r="E23" s="44"/>
      <c r="F23" s="44"/>
      <c r="G23" s="44"/>
      <c r="I23" s="7">
        <f t="shared" si="1"/>
        <v>0</v>
      </c>
      <c r="J23" s="1" t="str">
        <f t="shared" si="2"/>
        <v/>
      </c>
      <c r="K23" s="3" t="str">
        <f t="shared" si="0"/>
        <v/>
      </c>
    </row>
    <row r="24" spans="1:11" x14ac:dyDescent="0.15">
      <c r="A24" t="str">
        <f ca="1">A!A24</f>
        <v>Série (Jour) 20</v>
      </c>
      <c r="B24" s="44"/>
      <c r="C24" s="44"/>
      <c r="D24" s="44"/>
      <c r="E24" s="44"/>
      <c r="F24" s="44"/>
      <c r="G24" s="44"/>
      <c r="I24" s="7">
        <f t="shared" si="1"/>
        <v>0</v>
      </c>
      <c r="J24" s="1" t="str">
        <f t="shared" si="2"/>
        <v/>
      </c>
      <c r="K24" s="3" t="str">
        <f t="shared" si="0"/>
        <v/>
      </c>
    </row>
    <row r="25" spans="1:11" s="2" customFormat="1" x14ac:dyDescent="0.15"/>
    <row r="26" spans="1:11" x14ac:dyDescent="0.15">
      <c r="A26" t="str">
        <f ca="1">A!A26</f>
        <v>Nombre de séries (I)</v>
      </c>
      <c r="B26">
        <f>COUNT(B5:B24)</f>
        <v>2</v>
      </c>
    </row>
    <row r="27" spans="1:11" x14ac:dyDescent="0.15">
      <c r="A27" t="str">
        <f ca="1">A!A27</f>
        <v>Nombre de mesures (IJ)</v>
      </c>
      <c r="B27">
        <f>COUNT(B5:G24)</f>
        <v>4</v>
      </c>
    </row>
    <row r="28" spans="1:11" x14ac:dyDescent="0.15">
      <c r="A28" t="str">
        <f ca="1">A!A28</f>
        <v>Nombre de répétitions (J)</v>
      </c>
      <c r="B28">
        <f>IF(I5*B26&lt;&gt;B27,"Calcul impossible",I5)</f>
        <v>2</v>
      </c>
    </row>
    <row r="29" spans="1:11" x14ac:dyDescent="0.15">
      <c r="A29" t="str">
        <f ca="1">A!A29</f>
        <v>SCE résiduelle</v>
      </c>
      <c r="B29" s="1">
        <f>SUM(J5:J24)</f>
        <v>0.40499999999999947</v>
      </c>
    </row>
    <row r="30" spans="1:11" x14ac:dyDescent="0.15">
      <c r="A30" t="str">
        <f ca="1">A!A30</f>
        <v>SCE totale</v>
      </c>
      <c r="B30" s="1">
        <f>DEVSQ(B5:G24)</f>
        <v>0.42749999999999949</v>
      </c>
    </row>
    <row r="31" spans="1:11" x14ac:dyDescent="0.15">
      <c r="A31" t="str">
        <f ca="1">A!A31</f>
        <v>SCE inter-séries</v>
      </c>
      <c r="B31" s="1">
        <f>B30-B29</f>
        <v>2.250000000000002E-2</v>
      </c>
    </row>
    <row r="32" spans="1:11" x14ac:dyDescent="0.15">
      <c r="A32" t="str">
        <f ca="1">A!A32</f>
        <v>Valeur intermédiaire de s²L</v>
      </c>
      <c r="B32" s="1">
        <f>((B31/(B26-1))-B33)/B28</f>
        <v>-8.9999999999999858E-2</v>
      </c>
    </row>
    <row r="33" spans="1:10" x14ac:dyDescent="0.15">
      <c r="A33" t="str">
        <f ca="1">A!A33</f>
        <v>Variance de répétabilité (s²r)</v>
      </c>
      <c r="B33" s="1">
        <f>B29/(B27-B26)</f>
        <v>0.20249999999999974</v>
      </c>
    </row>
    <row r="34" spans="1:10" x14ac:dyDescent="0.15">
      <c r="A34" t="str">
        <f ca="1">A!A34</f>
        <v>Variance inter-séries (s²L)</v>
      </c>
      <c r="B34" s="1">
        <f>IF(B32&lt;0,0,B32)</f>
        <v>0</v>
      </c>
    </row>
    <row r="35" spans="1:10" x14ac:dyDescent="0.15">
      <c r="A35" t="str">
        <f ca="1">A!A35</f>
        <v>Variance de fidélité (s²FI)</v>
      </c>
      <c r="B35" s="1">
        <f>SUM(B33:B34)</f>
        <v>0.20249999999999974</v>
      </c>
    </row>
    <row r="36" spans="1:10" s="2" customFormat="1" x14ac:dyDescent="0.15">
      <c r="A36" s="2" t="str">
        <f ca="1">A!A36</f>
        <v>Fidélité</v>
      </c>
      <c r="B36" s="4"/>
    </row>
    <row r="37" spans="1:10" x14ac:dyDescent="0.15">
      <c r="A37" t="str">
        <f ca="1">A!A37</f>
        <v>Moyenne niveau</v>
      </c>
      <c r="B37" s="1">
        <f>AVERAGE(B5:G24)</f>
        <v>5.9249999999999998</v>
      </c>
    </row>
    <row r="38" spans="1:10" ht="12" customHeight="1" x14ac:dyDescent="0.15">
      <c r="A38" t="str">
        <f ca="1">A!A38</f>
        <v>Écart-type de répétabilité (sr)</v>
      </c>
      <c r="B38" s="1">
        <f>SQRT(B33)</f>
        <v>0.44999999999999973</v>
      </c>
    </row>
    <row r="39" spans="1:10" x14ac:dyDescent="0.15">
      <c r="A39" t="str">
        <f ca="1">A!A39</f>
        <v>Écart-type inter-séries (sL)</v>
      </c>
      <c r="B39" s="1">
        <f>SQRT(B34)</f>
        <v>0</v>
      </c>
    </row>
    <row r="40" spans="1:10" x14ac:dyDescent="0.15">
      <c r="A40" t="str">
        <f ca="1">A!A40</f>
        <v>Écart-type de fidélité (sFI)</v>
      </c>
      <c r="B40" s="1">
        <f>SQRT(B35)</f>
        <v>0.44999999999999973</v>
      </c>
    </row>
    <row r="41" spans="1:10" s="2" customFormat="1" x14ac:dyDescent="0.15">
      <c r="A41" s="2" t="str">
        <f ca="1">A!A41</f>
        <v>Justesse</v>
      </c>
      <c r="B41" s="9"/>
    </row>
    <row r="42" spans="1:10" x14ac:dyDescent="0.15">
      <c r="A42" t="str">
        <f ca="1">A!A42</f>
        <v>Biais relatif (%)</v>
      </c>
      <c r="B42" s="14">
        <f>(B37/B2)-1</f>
        <v>5.8035714285714413E-2</v>
      </c>
    </row>
    <row r="43" spans="1:10" s="2" customFormat="1" x14ac:dyDescent="0.15">
      <c r="A43" s="2" t="str">
        <f ca="1">A!A43</f>
        <v>Intervalle de tolérance (IT)</v>
      </c>
      <c r="B43" s="9"/>
    </row>
    <row r="44" spans="1:10" x14ac:dyDescent="0.15">
      <c r="A44" t="str">
        <f ca="1">A!A44</f>
        <v>Rapport des variances (R)</v>
      </c>
      <c r="B44" s="1">
        <f>B34/B33</f>
        <v>0</v>
      </c>
    </row>
    <row r="45" spans="1:10" x14ac:dyDescent="0.15">
      <c r="A45" t="str">
        <f ca="1">A!A45</f>
        <v>Coefficient B²</v>
      </c>
      <c r="B45" s="1">
        <f>(B44+1)/(B28*B44+1)</f>
        <v>1</v>
      </c>
    </row>
    <row r="46" spans="1:10" x14ac:dyDescent="0.15">
      <c r="A46" t="str">
        <f ca="1">A!A46</f>
        <v>Nombre de mesures corrigé (Ne)</v>
      </c>
      <c r="B46" s="1">
        <f>SQRT(1+1/(B27*B45))</f>
        <v>1.1180339887498949</v>
      </c>
    </row>
    <row r="47" spans="1:10" x14ac:dyDescent="0.15">
      <c r="A47" t="str">
        <f ca="1">A!A47</f>
        <v>Nombre de degrés liberté</v>
      </c>
      <c r="B47" s="1">
        <f>(B44+1)^2/((B44+1/B28)^2/(B26-1)+(1-1/B28)/B27)</f>
        <v>2.6666666666666665</v>
      </c>
      <c r="J47" s="1"/>
    </row>
    <row r="48" spans="1:10" x14ac:dyDescent="0.15">
      <c r="A48" t="str">
        <f ca="1">A!A48</f>
        <v>Probabilité tolérance (bêta)</v>
      </c>
      <c r="B48" s="16">
        <f>Bilan!C2</f>
        <v>0.8</v>
      </c>
    </row>
    <row r="49" spans="1:2" x14ac:dyDescent="0.15">
      <c r="A49" t="str">
        <f ca="1">A!A49</f>
        <v>t Student bas</v>
      </c>
      <c r="B49" s="1">
        <f>TINV(1-B48,ROUNDDOWN(B47,0))</f>
        <v>1.8856180831641269</v>
      </c>
    </row>
    <row r="50" spans="1:2" x14ac:dyDescent="0.15">
      <c r="A50" t="str">
        <f ca="1">A!A50</f>
        <v>t Student haut</v>
      </c>
      <c r="B50" s="1">
        <f>TINV(1-B48,ROUNDUP(B47,0))</f>
        <v>1.63774435369621</v>
      </c>
    </row>
    <row r="51" spans="1:2" x14ac:dyDescent="0.15">
      <c r="A51" t="str">
        <f ca="1">A!A51</f>
        <v>Facteur de couverture (ktol)</v>
      </c>
      <c r="B51" s="1">
        <f>B49-(B49-B50)*(B47-ROUNDDOWN(B47,0))</f>
        <v>1.7203689301855156</v>
      </c>
    </row>
    <row r="52" spans="1:2" x14ac:dyDescent="0.15">
      <c r="A52" t="str">
        <f ca="1">A!A52</f>
        <v>Écart-type du IT (sIT)</v>
      </c>
      <c r="B52" s="1">
        <f>B40*B46</f>
        <v>0.50311529493745244</v>
      </c>
    </row>
    <row r="53" spans="1:2" x14ac:dyDescent="0.15">
      <c r="A53" t="str">
        <f ca="1">A!A53</f>
        <v>Valeur basse intervalle tolérance</v>
      </c>
      <c r="B53" s="1">
        <f>B37-B51*B52</f>
        <v>5.059456078288485</v>
      </c>
    </row>
    <row r="54" spans="1:2" x14ac:dyDescent="0.15">
      <c r="A54" t="str">
        <f ca="1">A!A54</f>
        <v>Valeur haute intervalle tolérance</v>
      </c>
      <c r="B54" s="1">
        <f>B37+B51*B52</f>
        <v>6.7905439217115147</v>
      </c>
    </row>
    <row r="55" spans="1:2" s="2" customFormat="1" x14ac:dyDescent="0.15">
      <c r="A55" s="2" t="str">
        <f ca="1">A!A55</f>
        <v>Incertitude</v>
      </c>
      <c r="B55" s="4"/>
    </row>
    <row r="56" spans="1:2" x14ac:dyDescent="0.15">
      <c r="A56" t="str">
        <f ca="1">A!A56</f>
        <v>Incertitude-type composée</v>
      </c>
      <c r="B56" s="1">
        <f>B52</f>
        <v>0.50311529493745244</v>
      </c>
    </row>
    <row r="57" spans="1:2" x14ac:dyDescent="0.15">
      <c r="A57" t="str">
        <f ca="1">A!A57</f>
        <v>Incertitude étendue</v>
      </c>
      <c r="B57" s="1">
        <f>2*B56</f>
        <v>1.0062305898749049</v>
      </c>
    </row>
    <row r="58" spans="1:2" x14ac:dyDescent="0.15">
      <c r="A58" t="str">
        <f ca="1">A!A58</f>
        <v>Incertitude relative (%)</v>
      </c>
      <c r="B58" s="16">
        <f>B57/B2</f>
        <v>0.17968403390623303</v>
      </c>
    </row>
    <row r="59" spans="1:2" x14ac:dyDescent="0.15">
      <c r="A59" t="str">
        <f ca="1">A!A59</f>
        <v>Limite basse incertitude relative (%)</v>
      </c>
      <c r="B59" s="25">
        <f>1-B58</f>
        <v>0.820315966093767</v>
      </c>
    </row>
    <row r="60" spans="1:2" x14ac:dyDescent="0.15">
      <c r="A60" t="str">
        <f ca="1">A!A60</f>
        <v>Limite haute incertitude relative (%)</v>
      </c>
      <c r="B60" s="25">
        <f>1+B58</f>
        <v>1.1796840339062331</v>
      </c>
    </row>
  </sheetData>
  <sheetProtection password="D828" sheet="1" objects="1" scenarios="1"/>
  <phoneticPr fontId="2" type="noConversion"/>
  <printOptions headings="1" gridLines="1"/>
  <pageMargins left="0.78740157499999996" right="0.78740157499999996" top="0.56999999999999995" bottom="0.56999999999999995" header="0.33" footer="0.34"/>
  <pageSetup paperSize="9" scale="96" orientation="landscape" horizontalDpi="300" verticalDpi="300" r:id="rId1"/>
  <headerFooter alignWithMargins="0">
    <oddFooter>&amp;A&amp;RPage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
  <dimension ref="A1:K60"/>
  <sheetViews>
    <sheetView zoomScaleNormal="100" workbookViewId="0">
      <selection activeCell="B39" sqref="B39"/>
    </sheetView>
  </sheetViews>
  <sheetFormatPr baseColWidth="10" defaultRowHeight="11.25" x14ac:dyDescent="0.15"/>
  <cols>
    <col min="1" max="1" width="26.875" customWidth="1"/>
    <col min="2" max="7" width="15" customWidth="1"/>
    <col min="8" max="11" width="8.125" hidden="1" customWidth="1"/>
    <col min="12" max="12" width="4.5" customWidth="1"/>
  </cols>
  <sheetData>
    <row r="1" spans="1:11" s="2" customFormat="1" ht="12" thickBot="1" x14ac:dyDescent="0.2">
      <c r="A1" s="2" t="str">
        <f ca="1">A!A1</f>
        <v>Niveau</v>
      </c>
      <c r="B1" s="2" t="s">
        <v>6</v>
      </c>
    </row>
    <row r="2" spans="1:11" ht="12" thickBot="1" x14ac:dyDescent="0.2">
      <c r="A2" s="2" t="str">
        <f ca="1">A!A2</f>
        <v>Valeur de référence</v>
      </c>
      <c r="B2" s="23">
        <v>7.6</v>
      </c>
    </row>
    <row r="4" spans="1:11" x14ac:dyDescent="0.15">
      <c r="B4" t="str">
        <f>A!B4</f>
        <v>Rep 1</v>
      </c>
      <c r="C4" t="str">
        <f>A!C4</f>
        <v>Rep 2</v>
      </c>
      <c r="D4" t="str">
        <f>A!D4</f>
        <v>Rep 3</v>
      </c>
      <c r="E4" t="str">
        <f>A!E4</f>
        <v>Rep 4</v>
      </c>
      <c r="F4" t="str">
        <f>A!F4</f>
        <v>Rep 5</v>
      </c>
      <c r="G4" t="str">
        <f>A!G4</f>
        <v>Rep 6</v>
      </c>
      <c r="I4" t="s">
        <v>1</v>
      </c>
      <c r="J4" t="s">
        <v>2</v>
      </c>
      <c r="K4" t="s">
        <v>81</v>
      </c>
    </row>
    <row r="5" spans="1:11" x14ac:dyDescent="0.15">
      <c r="A5" t="str">
        <f ca="1">A!A5</f>
        <v>Série (Jour) 01</v>
      </c>
      <c r="B5" s="44">
        <v>8.1</v>
      </c>
      <c r="C5" s="44">
        <v>8</v>
      </c>
      <c r="D5" s="44"/>
      <c r="E5" s="44"/>
      <c r="F5" s="44"/>
      <c r="G5" s="44"/>
      <c r="I5" s="7">
        <f>COUNT(B5:G5)</f>
        <v>2</v>
      </c>
      <c r="J5" s="1">
        <f>IF(I5=0,"",DEVSQ(B5:G5))</f>
        <v>4.9999999999999645E-3</v>
      </c>
      <c r="K5" s="3">
        <f t="shared" ref="K5:K24" si="0">IF(I5=0,"",AVERAGE(B5:G5))</f>
        <v>8.0500000000000007</v>
      </c>
    </row>
    <row r="6" spans="1:11" x14ac:dyDescent="0.15">
      <c r="A6" t="str">
        <f ca="1">A!A6</f>
        <v>Série (Jour) 02</v>
      </c>
      <c r="B6" s="203">
        <v>7.8</v>
      </c>
      <c r="C6" s="44">
        <v>9</v>
      </c>
      <c r="D6" s="44"/>
      <c r="E6" s="44"/>
      <c r="F6" s="44"/>
      <c r="G6" s="44"/>
      <c r="I6" s="7">
        <f t="shared" ref="I6:I24" si="1">COUNT(B6:G6)</f>
        <v>2</v>
      </c>
      <c r="J6" s="1">
        <f t="shared" ref="J6:J24" si="2">IF(I6=0,"",DEVSQ(B6:G6))</f>
        <v>0.7200000000000002</v>
      </c>
      <c r="K6" s="3">
        <f t="shared" si="0"/>
        <v>8.4</v>
      </c>
    </row>
    <row r="7" spans="1:11" x14ac:dyDescent="0.15">
      <c r="A7" t="str">
        <f ca="1">A!A7</f>
        <v>Série (Jour) 03</v>
      </c>
      <c r="B7" s="44"/>
      <c r="C7" s="44"/>
      <c r="D7" s="44"/>
      <c r="E7" s="44"/>
      <c r="F7" s="44"/>
      <c r="G7" s="44"/>
      <c r="I7" s="7">
        <f t="shared" si="1"/>
        <v>0</v>
      </c>
      <c r="J7" s="1" t="str">
        <f t="shared" si="2"/>
        <v/>
      </c>
      <c r="K7" s="3" t="str">
        <f t="shared" si="0"/>
        <v/>
      </c>
    </row>
    <row r="8" spans="1:11" x14ac:dyDescent="0.15">
      <c r="A8" t="str">
        <f ca="1">A!A8</f>
        <v>Série (Jour) 04</v>
      </c>
      <c r="B8" s="44"/>
      <c r="C8" s="44"/>
      <c r="D8" s="44"/>
      <c r="E8" s="44"/>
      <c r="F8" s="44"/>
      <c r="G8" s="44"/>
      <c r="I8" s="7">
        <f t="shared" si="1"/>
        <v>0</v>
      </c>
      <c r="J8" s="1" t="str">
        <f t="shared" si="2"/>
        <v/>
      </c>
      <c r="K8" s="3" t="str">
        <f t="shared" si="0"/>
        <v/>
      </c>
    </row>
    <row r="9" spans="1:11" x14ac:dyDescent="0.15">
      <c r="A9" t="str">
        <f ca="1">A!A9</f>
        <v>Série (Jour) 05</v>
      </c>
      <c r="B9" s="44"/>
      <c r="C9" s="44"/>
      <c r="D9" s="44"/>
      <c r="E9" s="44"/>
      <c r="F9" s="44"/>
      <c r="G9" s="44"/>
      <c r="I9" s="7">
        <f t="shared" si="1"/>
        <v>0</v>
      </c>
      <c r="J9" s="1" t="str">
        <f t="shared" si="2"/>
        <v/>
      </c>
      <c r="K9" s="3" t="str">
        <f t="shared" si="0"/>
        <v/>
      </c>
    </row>
    <row r="10" spans="1:11" x14ac:dyDescent="0.15">
      <c r="A10" t="str">
        <f ca="1">A!A10</f>
        <v>Série (Jour) 06</v>
      </c>
      <c r="B10" s="44"/>
      <c r="C10" s="44"/>
      <c r="D10" s="44"/>
      <c r="E10" s="44"/>
      <c r="F10" s="44"/>
      <c r="G10" s="44"/>
      <c r="I10" s="7">
        <f t="shared" si="1"/>
        <v>0</v>
      </c>
      <c r="J10" s="1" t="str">
        <f t="shared" si="2"/>
        <v/>
      </c>
      <c r="K10" s="3" t="str">
        <f t="shared" si="0"/>
        <v/>
      </c>
    </row>
    <row r="11" spans="1:11" x14ac:dyDescent="0.15">
      <c r="A11" t="str">
        <f ca="1">A!A11</f>
        <v>Série (Jour) 07</v>
      </c>
      <c r="B11" s="44"/>
      <c r="C11" s="44"/>
      <c r="D11" s="44"/>
      <c r="E11" s="44"/>
      <c r="F11" s="44"/>
      <c r="G11" s="44"/>
      <c r="I11" s="7">
        <f t="shared" si="1"/>
        <v>0</v>
      </c>
      <c r="J11" s="1" t="str">
        <f t="shared" si="2"/>
        <v/>
      </c>
      <c r="K11" s="3" t="str">
        <f t="shared" si="0"/>
        <v/>
      </c>
    </row>
    <row r="12" spans="1:11" x14ac:dyDescent="0.15">
      <c r="A12" t="str">
        <f ca="1">A!A12</f>
        <v>Série (Jour) 08</v>
      </c>
      <c r="B12" s="44"/>
      <c r="C12" s="44"/>
      <c r="D12" s="44"/>
      <c r="E12" s="44"/>
      <c r="F12" s="44"/>
      <c r="G12" s="44"/>
      <c r="I12" s="7">
        <f t="shared" si="1"/>
        <v>0</v>
      </c>
      <c r="J12" s="1" t="str">
        <f t="shared" si="2"/>
        <v/>
      </c>
      <c r="K12" s="3" t="str">
        <f t="shared" si="0"/>
        <v/>
      </c>
    </row>
    <row r="13" spans="1:11" x14ac:dyDescent="0.15">
      <c r="A13" t="str">
        <f ca="1">A!A13</f>
        <v>Série (Jour) 09</v>
      </c>
      <c r="B13" s="44"/>
      <c r="C13" s="44"/>
      <c r="D13" s="44"/>
      <c r="E13" s="44"/>
      <c r="F13" s="44"/>
      <c r="G13" s="44"/>
      <c r="I13" s="7">
        <f t="shared" si="1"/>
        <v>0</v>
      </c>
      <c r="J13" s="1" t="str">
        <f t="shared" si="2"/>
        <v/>
      </c>
      <c r="K13" s="3" t="str">
        <f t="shared" si="0"/>
        <v/>
      </c>
    </row>
    <row r="14" spans="1:11" x14ac:dyDescent="0.15">
      <c r="A14" t="str">
        <f ca="1">A!A14</f>
        <v>Série (Jour) 10</v>
      </c>
      <c r="B14" s="44"/>
      <c r="C14" s="44"/>
      <c r="D14" s="44"/>
      <c r="E14" s="44"/>
      <c r="F14" s="44"/>
      <c r="G14" s="44"/>
      <c r="I14" s="7">
        <f t="shared" si="1"/>
        <v>0</v>
      </c>
      <c r="J14" s="1" t="str">
        <f t="shared" si="2"/>
        <v/>
      </c>
      <c r="K14" s="3" t="str">
        <f t="shared" si="0"/>
        <v/>
      </c>
    </row>
    <row r="15" spans="1:11" x14ac:dyDescent="0.15">
      <c r="A15" t="str">
        <f ca="1">A!A15</f>
        <v>Série (Jour) 11</v>
      </c>
      <c r="B15" s="44"/>
      <c r="C15" s="44"/>
      <c r="D15" s="44"/>
      <c r="E15" s="44"/>
      <c r="F15" s="44"/>
      <c r="G15" s="44"/>
      <c r="I15" s="7">
        <f t="shared" si="1"/>
        <v>0</v>
      </c>
      <c r="J15" s="1" t="str">
        <f t="shared" si="2"/>
        <v/>
      </c>
      <c r="K15" s="3" t="str">
        <f t="shared" si="0"/>
        <v/>
      </c>
    </row>
    <row r="16" spans="1:11" x14ac:dyDescent="0.15">
      <c r="A16" t="str">
        <f ca="1">A!A16</f>
        <v>Série (Jour) 12</v>
      </c>
      <c r="B16" s="44"/>
      <c r="C16" s="44"/>
      <c r="D16" s="44"/>
      <c r="E16" s="44"/>
      <c r="F16" s="44"/>
      <c r="G16" s="44"/>
      <c r="I16" s="7">
        <f t="shared" si="1"/>
        <v>0</v>
      </c>
      <c r="J16" s="1" t="str">
        <f t="shared" si="2"/>
        <v/>
      </c>
      <c r="K16" s="3" t="str">
        <f t="shared" si="0"/>
        <v/>
      </c>
    </row>
    <row r="17" spans="1:11" x14ac:dyDescent="0.15">
      <c r="A17" t="str">
        <f ca="1">A!A17</f>
        <v>Série (Jour) 13</v>
      </c>
      <c r="B17" s="44"/>
      <c r="C17" s="44"/>
      <c r="D17" s="44"/>
      <c r="E17" s="44"/>
      <c r="F17" s="44"/>
      <c r="G17" s="44"/>
      <c r="I17" s="7">
        <f t="shared" si="1"/>
        <v>0</v>
      </c>
      <c r="J17" s="1" t="str">
        <f t="shared" si="2"/>
        <v/>
      </c>
      <c r="K17" s="3" t="str">
        <f t="shared" si="0"/>
        <v/>
      </c>
    </row>
    <row r="18" spans="1:11" x14ac:dyDescent="0.15">
      <c r="A18" t="str">
        <f ca="1">A!A18</f>
        <v>Série (Jour) 14</v>
      </c>
      <c r="B18" s="44"/>
      <c r="C18" s="44"/>
      <c r="D18" s="44"/>
      <c r="E18" s="44"/>
      <c r="F18" s="44"/>
      <c r="G18" s="44"/>
      <c r="I18" s="7">
        <f t="shared" si="1"/>
        <v>0</v>
      </c>
      <c r="J18" s="1" t="str">
        <f t="shared" si="2"/>
        <v/>
      </c>
      <c r="K18" s="3" t="str">
        <f t="shared" si="0"/>
        <v/>
      </c>
    </row>
    <row r="19" spans="1:11" x14ac:dyDescent="0.15">
      <c r="A19" t="str">
        <f ca="1">A!A19</f>
        <v>Série (Jour) 15</v>
      </c>
      <c r="B19" s="44"/>
      <c r="C19" s="44"/>
      <c r="D19" s="44"/>
      <c r="E19" s="44"/>
      <c r="F19" s="44"/>
      <c r="G19" s="44"/>
      <c r="I19" s="7">
        <f t="shared" si="1"/>
        <v>0</v>
      </c>
      <c r="J19" s="1" t="str">
        <f t="shared" si="2"/>
        <v/>
      </c>
      <c r="K19" s="3" t="str">
        <f t="shared" si="0"/>
        <v/>
      </c>
    </row>
    <row r="20" spans="1:11" x14ac:dyDescent="0.15">
      <c r="A20" t="str">
        <f ca="1">A!A20</f>
        <v>Série (Jour) 16</v>
      </c>
      <c r="B20" s="44"/>
      <c r="C20" s="44"/>
      <c r="D20" s="44"/>
      <c r="E20" s="44"/>
      <c r="F20" s="44"/>
      <c r="G20" s="44"/>
      <c r="I20" s="7">
        <f t="shared" si="1"/>
        <v>0</v>
      </c>
      <c r="J20" s="1" t="str">
        <f t="shared" si="2"/>
        <v/>
      </c>
      <c r="K20" s="3" t="str">
        <f t="shared" si="0"/>
        <v/>
      </c>
    </row>
    <row r="21" spans="1:11" x14ac:dyDescent="0.15">
      <c r="A21" t="str">
        <f ca="1">A!A21</f>
        <v>Série (Jour) 17</v>
      </c>
      <c r="B21" s="44"/>
      <c r="C21" s="44"/>
      <c r="D21" s="44"/>
      <c r="E21" s="44"/>
      <c r="F21" s="44"/>
      <c r="G21" s="44"/>
      <c r="I21" s="7">
        <f t="shared" si="1"/>
        <v>0</v>
      </c>
      <c r="J21" s="1" t="str">
        <f t="shared" si="2"/>
        <v/>
      </c>
      <c r="K21" s="3" t="str">
        <f t="shared" si="0"/>
        <v/>
      </c>
    </row>
    <row r="22" spans="1:11" x14ac:dyDescent="0.15">
      <c r="A22" t="str">
        <f ca="1">A!A22</f>
        <v>Série (Jour) 18</v>
      </c>
      <c r="B22" s="44"/>
      <c r="C22" s="44"/>
      <c r="D22" s="44"/>
      <c r="E22" s="44"/>
      <c r="F22" s="44"/>
      <c r="G22" s="44"/>
      <c r="I22" s="7">
        <f t="shared" si="1"/>
        <v>0</v>
      </c>
      <c r="J22" s="1" t="str">
        <f t="shared" si="2"/>
        <v/>
      </c>
      <c r="K22" s="3" t="str">
        <f t="shared" si="0"/>
        <v/>
      </c>
    </row>
    <row r="23" spans="1:11" x14ac:dyDescent="0.15">
      <c r="A23" t="str">
        <f ca="1">A!A23</f>
        <v>Série (Jour) 19</v>
      </c>
      <c r="B23" s="44"/>
      <c r="C23" s="44"/>
      <c r="D23" s="44"/>
      <c r="E23" s="44"/>
      <c r="F23" s="44"/>
      <c r="G23" s="44"/>
      <c r="I23" s="7">
        <f t="shared" si="1"/>
        <v>0</v>
      </c>
      <c r="J23" s="1" t="str">
        <f t="shared" si="2"/>
        <v/>
      </c>
      <c r="K23" s="3" t="str">
        <f t="shared" si="0"/>
        <v/>
      </c>
    </row>
    <row r="24" spans="1:11" x14ac:dyDescent="0.15">
      <c r="A24" t="str">
        <f ca="1">A!A24</f>
        <v>Série (Jour) 20</v>
      </c>
      <c r="B24" s="44"/>
      <c r="C24" s="44"/>
      <c r="D24" s="44"/>
      <c r="E24" s="44"/>
      <c r="F24" s="44"/>
      <c r="G24" s="44"/>
      <c r="I24" s="7">
        <f t="shared" si="1"/>
        <v>0</v>
      </c>
      <c r="J24" s="1" t="str">
        <f t="shared" si="2"/>
        <v/>
      </c>
      <c r="K24" s="3" t="str">
        <f t="shared" si="0"/>
        <v/>
      </c>
    </row>
    <row r="25" spans="1:11" s="2" customFormat="1" x14ac:dyDescent="0.15"/>
    <row r="26" spans="1:11" x14ac:dyDescent="0.15">
      <c r="A26" t="str">
        <f ca="1">A!A26</f>
        <v>Nombre de séries (I)</v>
      </c>
      <c r="B26">
        <f>COUNT(B5:B24)</f>
        <v>2</v>
      </c>
    </row>
    <row r="27" spans="1:11" x14ac:dyDescent="0.15">
      <c r="A27" t="str">
        <f ca="1">A!A27</f>
        <v>Nombre de mesures (IJ)</v>
      </c>
      <c r="B27">
        <f>COUNT(B5:G24)</f>
        <v>4</v>
      </c>
    </row>
    <row r="28" spans="1:11" x14ac:dyDescent="0.15">
      <c r="A28" t="str">
        <f ca="1">A!A28</f>
        <v>Nombre de répétitions (J)</v>
      </c>
      <c r="B28">
        <f>IF(I5*B26&lt;&gt;B27,"Calcul impossible",I5)</f>
        <v>2</v>
      </c>
    </row>
    <row r="29" spans="1:11" x14ac:dyDescent="0.15">
      <c r="A29" t="str">
        <f ca="1">A!A29</f>
        <v>SCE résiduelle</v>
      </c>
      <c r="B29" s="1">
        <f>SUM(J5:J24)</f>
        <v>0.7250000000000002</v>
      </c>
    </row>
    <row r="30" spans="1:11" x14ac:dyDescent="0.15">
      <c r="A30" t="str">
        <f ca="1">A!A30</f>
        <v>SCE totale</v>
      </c>
      <c r="B30" s="1">
        <f>DEVSQ(B5:G24)</f>
        <v>0.84750000000000014</v>
      </c>
    </row>
    <row r="31" spans="1:11" x14ac:dyDescent="0.15">
      <c r="A31" t="str">
        <f ca="1">A!A31</f>
        <v>SCE inter-séries</v>
      </c>
      <c r="B31" s="1">
        <f>B30-B29</f>
        <v>0.12249999999999994</v>
      </c>
    </row>
    <row r="32" spans="1:11" x14ac:dyDescent="0.15">
      <c r="A32" t="str">
        <f ca="1">A!A32</f>
        <v>Valeur intermédiaire de s²L</v>
      </c>
      <c r="B32" s="1">
        <f>((B31/(B26-1))-B33)/B28</f>
        <v>-0.12000000000000008</v>
      </c>
    </row>
    <row r="33" spans="1:10" x14ac:dyDescent="0.15">
      <c r="A33" t="str">
        <f ca="1">A!A33</f>
        <v>Variance de répétabilité (s²r)</v>
      </c>
      <c r="B33" s="1">
        <f>B29/(B27-B26)</f>
        <v>0.3625000000000001</v>
      </c>
    </row>
    <row r="34" spans="1:10" x14ac:dyDescent="0.15">
      <c r="A34" t="str">
        <f ca="1">A!A34</f>
        <v>Variance inter-séries (s²L)</v>
      </c>
      <c r="B34" s="1">
        <f>IF(B32&lt;0,0,B32)</f>
        <v>0</v>
      </c>
    </row>
    <row r="35" spans="1:10" x14ac:dyDescent="0.15">
      <c r="A35" t="str">
        <f ca="1">A!A35</f>
        <v>Variance de fidélité (s²FI)</v>
      </c>
      <c r="B35" s="1">
        <f>SUM(B33:B34)</f>
        <v>0.3625000000000001</v>
      </c>
    </row>
    <row r="36" spans="1:10" s="2" customFormat="1" x14ac:dyDescent="0.15">
      <c r="A36" s="2" t="str">
        <f ca="1">A!A36</f>
        <v>Fidélité</v>
      </c>
      <c r="B36" s="4"/>
    </row>
    <row r="37" spans="1:10" x14ac:dyDescent="0.15">
      <c r="A37" t="str">
        <f ca="1">A!A37</f>
        <v>Moyenne niveau</v>
      </c>
      <c r="B37" s="1">
        <f>AVERAGE(B5:G24)</f>
        <v>8.2250000000000014</v>
      </c>
    </row>
    <row r="38" spans="1:10" ht="12" customHeight="1" x14ac:dyDescent="0.15">
      <c r="A38" t="str">
        <f ca="1">A!A38</f>
        <v>Écart-type de répétabilité (sr)</v>
      </c>
      <c r="B38" s="1">
        <f>SQRT(B33)</f>
        <v>0.60207972893961481</v>
      </c>
    </row>
    <row r="39" spans="1:10" x14ac:dyDescent="0.15">
      <c r="A39" t="str">
        <f ca="1">A!A39</f>
        <v>Écart-type inter-séries (sL)</v>
      </c>
      <c r="B39" s="1">
        <f>SQRT(B34)</f>
        <v>0</v>
      </c>
    </row>
    <row r="40" spans="1:10" x14ac:dyDescent="0.15">
      <c r="A40" t="str">
        <f ca="1">A!A40</f>
        <v>Écart-type de fidélité (sFI)</v>
      </c>
      <c r="B40" s="1">
        <f>SQRT(B35)</f>
        <v>0.60207972893961481</v>
      </c>
    </row>
    <row r="41" spans="1:10" s="2" customFormat="1" x14ac:dyDescent="0.15">
      <c r="A41" s="2" t="str">
        <f ca="1">A!A41</f>
        <v>Justesse</v>
      </c>
      <c r="B41" s="9"/>
    </row>
    <row r="42" spans="1:10" x14ac:dyDescent="0.15">
      <c r="A42" t="str">
        <f ca="1">A!A42</f>
        <v>Biais relatif (%)</v>
      </c>
      <c r="B42" s="14">
        <f>(B37/B2)-1</f>
        <v>8.2236842105263497E-2</v>
      </c>
    </row>
    <row r="43" spans="1:10" s="2" customFormat="1" x14ac:dyDescent="0.15">
      <c r="A43" s="2" t="str">
        <f ca="1">A!A43</f>
        <v>Intervalle de tolérance (IT)</v>
      </c>
      <c r="B43" s="9"/>
    </row>
    <row r="44" spans="1:10" x14ac:dyDescent="0.15">
      <c r="A44" t="str">
        <f ca="1">A!A44</f>
        <v>Rapport des variances (R)</v>
      </c>
      <c r="B44" s="1">
        <f>B34/B33</f>
        <v>0</v>
      </c>
    </row>
    <row r="45" spans="1:10" x14ac:dyDescent="0.15">
      <c r="A45" t="str">
        <f ca="1">A!A45</f>
        <v>Coefficient B²</v>
      </c>
      <c r="B45" s="1">
        <f>(B44+1)/(B28*B44+1)</f>
        <v>1</v>
      </c>
    </row>
    <row r="46" spans="1:10" x14ac:dyDescent="0.15">
      <c r="A46" t="str">
        <f ca="1">A!A46</f>
        <v>Nombre de mesures corrigé (Ne)</v>
      </c>
      <c r="B46" s="1">
        <f>SQRT(1+1/(B27*B45))</f>
        <v>1.1180339887498949</v>
      </c>
    </row>
    <row r="47" spans="1:10" x14ac:dyDescent="0.15">
      <c r="A47" t="str">
        <f ca="1">A!A47</f>
        <v>Nombre de degrés liberté</v>
      </c>
      <c r="B47" s="1">
        <f>(B44+1)^2/((B44+1/B28)^2/(B26-1)+(1-1/B28)/B27)</f>
        <v>2.6666666666666665</v>
      </c>
      <c r="J47" s="1"/>
    </row>
    <row r="48" spans="1:10" x14ac:dyDescent="0.15">
      <c r="A48" t="str">
        <f ca="1">A!A48</f>
        <v>Probabilité tolérance (bêta)</v>
      </c>
      <c r="B48" s="16">
        <f>Bilan!C2</f>
        <v>0.8</v>
      </c>
    </row>
    <row r="49" spans="1:2" x14ac:dyDescent="0.15">
      <c r="A49" t="str">
        <f ca="1">A!A49</f>
        <v>t Student bas</v>
      </c>
      <c r="B49" s="1">
        <f>TINV(1-B48,ROUNDDOWN(B47,0))</f>
        <v>1.8856180831641269</v>
      </c>
    </row>
    <row r="50" spans="1:2" x14ac:dyDescent="0.15">
      <c r="A50" t="str">
        <f ca="1">A!A50</f>
        <v>t Student haut</v>
      </c>
      <c r="B50" s="1">
        <f>TINV(1-B48,ROUNDUP(B47,0))</f>
        <v>1.63774435369621</v>
      </c>
    </row>
    <row r="51" spans="1:2" x14ac:dyDescent="0.15">
      <c r="A51" t="str">
        <f ca="1">A!A51</f>
        <v>Facteur de couverture (ktol)</v>
      </c>
      <c r="B51" s="1">
        <f>B49-(B49-B50)*(B47-ROUNDDOWN(B47,0))</f>
        <v>1.7203689301855156</v>
      </c>
    </row>
    <row r="52" spans="1:2" x14ac:dyDescent="0.15">
      <c r="A52" t="str">
        <f ca="1">A!A52</f>
        <v>Écart-type du IT (sIT)</v>
      </c>
      <c r="B52" s="1">
        <f>B40*B46</f>
        <v>0.67314560089181308</v>
      </c>
    </row>
    <row r="53" spans="1:2" x14ac:dyDescent="0.15">
      <c r="A53" t="str">
        <f ca="1">A!A53</f>
        <v>Valeur basse intervalle tolérance</v>
      </c>
      <c r="B53" s="1">
        <f>B37-B51*B52</f>
        <v>7.0669412227346671</v>
      </c>
    </row>
    <row r="54" spans="1:2" x14ac:dyDescent="0.15">
      <c r="A54" t="str">
        <f ca="1">A!A54</f>
        <v>Valeur haute intervalle tolérance</v>
      </c>
      <c r="B54" s="1">
        <f>B37+B51*B52</f>
        <v>9.3830587772653367</v>
      </c>
    </row>
    <row r="55" spans="1:2" s="2" customFormat="1" x14ac:dyDescent="0.15">
      <c r="A55" s="2" t="str">
        <f ca="1">A!A55</f>
        <v>Incertitude</v>
      </c>
      <c r="B55" s="4"/>
    </row>
    <row r="56" spans="1:2" x14ac:dyDescent="0.15">
      <c r="A56" t="str">
        <f ca="1">A!A56</f>
        <v>Incertitude-type composée</v>
      </c>
      <c r="B56" s="1">
        <f>B52</f>
        <v>0.67314560089181308</v>
      </c>
    </row>
    <row r="57" spans="1:2" x14ac:dyDescent="0.15">
      <c r="A57" t="str">
        <f ca="1">A!A57</f>
        <v>Incertitude étendue</v>
      </c>
      <c r="B57" s="1">
        <f>2*B56</f>
        <v>1.3462912017836262</v>
      </c>
    </row>
    <row r="58" spans="1:2" x14ac:dyDescent="0.15">
      <c r="A58" t="str">
        <f ca="1">A!A58</f>
        <v>Incertitude relative (%)</v>
      </c>
      <c r="B58" s="16">
        <f>B57/B2</f>
        <v>0.17714357918205609</v>
      </c>
    </row>
    <row r="59" spans="1:2" x14ac:dyDescent="0.15">
      <c r="A59" t="str">
        <f ca="1">A!A59</f>
        <v>Limite basse incertitude relative (%)</v>
      </c>
      <c r="B59" s="25">
        <f>1-B58</f>
        <v>0.82285642081794386</v>
      </c>
    </row>
    <row r="60" spans="1:2" x14ac:dyDescent="0.15">
      <c r="A60" t="str">
        <f ca="1">A!A60</f>
        <v>Limite haute incertitude relative (%)</v>
      </c>
      <c r="B60" s="25">
        <f>1+B58</f>
        <v>1.1771435791820561</v>
      </c>
    </row>
  </sheetData>
  <sheetProtection password="D828" sheet="1" objects="1" scenarios="1"/>
  <phoneticPr fontId="2" type="noConversion"/>
  <printOptions headings="1" gridLines="1"/>
  <pageMargins left="0.78740157499999996" right="0.78740157499999996" top="0.56999999999999995" bottom="0.56999999999999995" header="0.33" footer="0.34"/>
  <pageSetup paperSize="9" scale="96" orientation="landscape" horizontalDpi="300" verticalDpi="300" r:id="rId1"/>
  <headerFooter alignWithMargins="0">
    <oddFooter>&amp;A&amp;RPage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K60"/>
  <sheetViews>
    <sheetView zoomScaleNormal="100" workbookViewId="0">
      <selection activeCell="B39" sqref="B39"/>
    </sheetView>
  </sheetViews>
  <sheetFormatPr baseColWidth="10" defaultRowHeight="11.25" x14ac:dyDescent="0.15"/>
  <cols>
    <col min="1" max="1" width="26.875" customWidth="1"/>
    <col min="2" max="7" width="15" customWidth="1"/>
    <col min="8" max="11" width="8.125" hidden="1" customWidth="1"/>
    <col min="12" max="12" width="4.5" customWidth="1"/>
  </cols>
  <sheetData>
    <row r="1" spans="1:11" s="2" customFormat="1" ht="12" thickBot="1" x14ac:dyDescent="0.2">
      <c r="A1" s="2" t="str">
        <f ca="1">A!A1</f>
        <v>Niveau</v>
      </c>
      <c r="B1" s="2" t="s">
        <v>7</v>
      </c>
    </row>
    <row r="2" spans="1:11" ht="12" thickBot="1" x14ac:dyDescent="0.2">
      <c r="A2" s="2" t="str">
        <f ca="1">A!A2</f>
        <v>Valeur de référence</v>
      </c>
      <c r="B2" s="23">
        <v>9.6</v>
      </c>
    </row>
    <row r="4" spans="1:11" x14ac:dyDescent="0.15">
      <c r="B4" t="str">
        <f>A!B4</f>
        <v>Rep 1</v>
      </c>
      <c r="C4" t="str">
        <f>A!C4</f>
        <v>Rep 2</v>
      </c>
      <c r="D4" t="str">
        <f>A!D4</f>
        <v>Rep 3</v>
      </c>
      <c r="E4" t="str">
        <f>A!E4</f>
        <v>Rep 4</v>
      </c>
      <c r="F4" t="str">
        <f>A!F4</f>
        <v>Rep 5</v>
      </c>
      <c r="G4" t="str">
        <f>A!G4</f>
        <v>Rep 6</v>
      </c>
      <c r="I4" t="s">
        <v>1</v>
      </c>
      <c r="J4" t="s">
        <v>2</v>
      </c>
      <c r="K4" t="s">
        <v>81</v>
      </c>
    </row>
    <row r="5" spans="1:11" x14ac:dyDescent="0.15">
      <c r="A5" t="str">
        <f ca="1">A!A5</f>
        <v>Série (Jour) 01</v>
      </c>
      <c r="B5" s="44">
        <v>10.199999999999999</v>
      </c>
      <c r="C5" s="44">
        <v>9.6999999999999993</v>
      </c>
      <c r="D5" s="44"/>
      <c r="E5" s="44"/>
      <c r="F5" s="44"/>
      <c r="G5" s="44"/>
      <c r="I5" s="7">
        <f>COUNT(B5:G5)</f>
        <v>2</v>
      </c>
      <c r="J5" s="1">
        <f>IF(I5=0,"",DEVSQ(B5:G5))</f>
        <v>0.125</v>
      </c>
      <c r="K5" s="3">
        <f t="shared" ref="K5:K24" si="0">IF(I5=0,"",AVERAGE(B5:G5))</f>
        <v>9.9499999999999993</v>
      </c>
    </row>
    <row r="6" spans="1:11" x14ac:dyDescent="0.15">
      <c r="A6" t="str">
        <f ca="1">A!A6</f>
        <v>Série (Jour) 02</v>
      </c>
      <c r="B6" s="44">
        <v>9.4</v>
      </c>
      <c r="C6" s="44">
        <v>10.6</v>
      </c>
      <c r="D6" s="44"/>
      <c r="E6" s="44"/>
      <c r="F6" s="44"/>
      <c r="G6" s="44"/>
      <c r="I6" s="7">
        <f t="shared" ref="I6:I24" si="1">COUNT(B6:G6)</f>
        <v>2</v>
      </c>
      <c r="J6" s="1">
        <f t="shared" ref="J6:J24" si="2">IF(I6=0,"",DEVSQ(B6:G6))</f>
        <v>0.7199999999999992</v>
      </c>
      <c r="K6" s="3">
        <f t="shared" si="0"/>
        <v>10</v>
      </c>
    </row>
    <row r="7" spans="1:11" x14ac:dyDescent="0.15">
      <c r="A7" t="str">
        <f ca="1">A!A7</f>
        <v>Série (Jour) 03</v>
      </c>
      <c r="B7" s="44"/>
      <c r="C7" s="44"/>
      <c r="D7" s="44"/>
      <c r="E7" s="44"/>
      <c r="F7" s="44"/>
      <c r="G7" s="44"/>
      <c r="I7" s="7">
        <f t="shared" si="1"/>
        <v>0</v>
      </c>
      <c r="J7" s="1" t="str">
        <f t="shared" si="2"/>
        <v/>
      </c>
      <c r="K7" s="3" t="str">
        <f t="shared" si="0"/>
        <v/>
      </c>
    </row>
    <row r="8" spans="1:11" x14ac:dyDescent="0.15">
      <c r="A8" t="str">
        <f ca="1">A!A8</f>
        <v>Série (Jour) 04</v>
      </c>
      <c r="B8" s="44"/>
      <c r="C8" s="44"/>
      <c r="D8" s="44"/>
      <c r="E8" s="44"/>
      <c r="F8" s="44"/>
      <c r="G8" s="44"/>
      <c r="I8" s="7">
        <f t="shared" si="1"/>
        <v>0</v>
      </c>
      <c r="J8" s="1" t="str">
        <f t="shared" si="2"/>
        <v/>
      </c>
      <c r="K8" s="3" t="str">
        <f t="shared" si="0"/>
        <v/>
      </c>
    </row>
    <row r="9" spans="1:11" x14ac:dyDescent="0.15">
      <c r="A9" t="str">
        <f ca="1">A!A9</f>
        <v>Série (Jour) 05</v>
      </c>
      <c r="B9" s="44"/>
      <c r="C9" s="44"/>
      <c r="D9" s="44"/>
      <c r="E9" s="44"/>
      <c r="F9" s="44"/>
      <c r="G9" s="44"/>
      <c r="I9" s="7">
        <f t="shared" si="1"/>
        <v>0</v>
      </c>
      <c r="J9" s="1" t="str">
        <f t="shared" si="2"/>
        <v/>
      </c>
      <c r="K9" s="3" t="str">
        <f t="shared" si="0"/>
        <v/>
      </c>
    </row>
    <row r="10" spans="1:11" x14ac:dyDescent="0.15">
      <c r="A10" t="str">
        <f ca="1">A!A10</f>
        <v>Série (Jour) 06</v>
      </c>
      <c r="B10" s="44"/>
      <c r="C10" s="44"/>
      <c r="D10" s="44"/>
      <c r="E10" s="44"/>
      <c r="F10" s="44"/>
      <c r="G10" s="44"/>
      <c r="I10" s="7">
        <f t="shared" si="1"/>
        <v>0</v>
      </c>
      <c r="J10" s="1" t="str">
        <f t="shared" si="2"/>
        <v/>
      </c>
      <c r="K10" s="3" t="str">
        <f t="shared" si="0"/>
        <v/>
      </c>
    </row>
    <row r="11" spans="1:11" x14ac:dyDescent="0.15">
      <c r="A11" t="str">
        <f ca="1">A!A11</f>
        <v>Série (Jour) 07</v>
      </c>
      <c r="B11" s="44"/>
      <c r="C11" s="44"/>
      <c r="D11" s="44"/>
      <c r="E11" s="44"/>
      <c r="F11" s="44"/>
      <c r="G11" s="44"/>
      <c r="I11" s="7">
        <f t="shared" si="1"/>
        <v>0</v>
      </c>
      <c r="J11" s="1" t="str">
        <f t="shared" si="2"/>
        <v/>
      </c>
      <c r="K11" s="3" t="str">
        <f t="shared" si="0"/>
        <v/>
      </c>
    </row>
    <row r="12" spans="1:11" x14ac:dyDescent="0.15">
      <c r="A12" t="str">
        <f ca="1">A!A12</f>
        <v>Série (Jour) 08</v>
      </c>
      <c r="B12" s="44"/>
      <c r="C12" s="44"/>
      <c r="D12" s="44"/>
      <c r="E12" s="44"/>
      <c r="F12" s="44"/>
      <c r="G12" s="44"/>
      <c r="I12" s="7">
        <f t="shared" si="1"/>
        <v>0</v>
      </c>
      <c r="J12" s="1" t="str">
        <f t="shared" si="2"/>
        <v/>
      </c>
      <c r="K12" s="3" t="str">
        <f t="shared" si="0"/>
        <v/>
      </c>
    </row>
    <row r="13" spans="1:11" x14ac:dyDescent="0.15">
      <c r="A13" t="str">
        <f ca="1">A!A13</f>
        <v>Série (Jour) 09</v>
      </c>
      <c r="B13" s="44"/>
      <c r="C13" s="44"/>
      <c r="D13" s="44"/>
      <c r="E13" s="44"/>
      <c r="F13" s="44"/>
      <c r="G13" s="44"/>
      <c r="I13" s="7">
        <f t="shared" si="1"/>
        <v>0</v>
      </c>
      <c r="J13" s="1" t="str">
        <f t="shared" si="2"/>
        <v/>
      </c>
      <c r="K13" s="3" t="str">
        <f t="shared" si="0"/>
        <v/>
      </c>
    </row>
    <row r="14" spans="1:11" x14ac:dyDescent="0.15">
      <c r="A14" t="str">
        <f ca="1">A!A14</f>
        <v>Série (Jour) 10</v>
      </c>
      <c r="B14" s="44"/>
      <c r="C14" s="44"/>
      <c r="D14" s="44"/>
      <c r="E14" s="44"/>
      <c r="F14" s="44"/>
      <c r="G14" s="44"/>
      <c r="I14" s="7">
        <f t="shared" si="1"/>
        <v>0</v>
      </c>
      <c r="J14" s="1" t="str">
        <f t="shared" si="2"/>
        <v/>
      </c>
      <c r="K14" s="3" t="str">
        <f t="shared" si="0"/>
        <v/>
      </c>
    </row>
    <row r="15" spans="1:11" x14ac:dyDescent="0.15">
      <c r="A15" t="str">
        <f ca="1">A!A15</f>
        <v>Série (Jour) 11</v>
      </c>
      <c r="B15" s="44"/>
      <c r="C15" s="44"/>
      <c r="D15" s="44"/>
      <c r="E15" s="44"/>
      <c r="F15" s="44"/>
      <c r="G15" s="44"/>
      <c r="I15" s="7">
        <f t="shared" si="1"/>
        <v>0</v>
      </c>
      <c r="J15" s="1" t="str">
        <f t="shared" si="2"/>
        <v/>
      </c>
      <c r="K15" s="3" t="str">
        <f t="shared" si="0"/>
        <v/>
      </c>
    </row>
    <row r="16" spans="1:11" x14ac:dyDescent="0.15">
      <c r="A16" t="str">
        <f ca="1">A!A16</f>
        <v>Série (Jour) 12</v>
      </c>
      <c r="B16" s="44"/>
      <c r="C16" s="44"/>
      <c r="D16" s="44"/>
      <c r="E16" s="44"/>
      <c r="F16" s="44"/>
      <c r="G16" s="44"/>
      <c r="I16" s="7">
        <f t="shared" si="1"/>
        <v>0</v>
      </c>
      <c r="J16" s="1" t="str">
        <f t="shared" si="2"/>
        <v/>
      </c>
      <c r="K16" s="3" t="str">
        <f t="shared" si="0"/>
        <v/>
      </c>
    </row>
    <row r="17" spans="1:11" x14ac:dyDescent="0.15">
      <c r="A17" t="str">
        <f ca="1">A!A17</f>
        <v>Série (Jour) 13</v>
      </c>
      <c r="B17" s="44"/>
      <c r="C17" s="44"/>
      <c r="D17" s="44"/>
      <c r="E17" s="44"/>
      <c r="F17" s="44"/>
      <c r="G17" s="44"/>
      <c r="I17" s="7">
        <f t="shared" si="1"/>
        <v>0</v>
      </c>
      <c r="J17" s="1" t="str">
        <f t="shared" si="2"/>
        <v/>
      </c>
      <c r="K17" s="3" t="str">
        <f t="shared" si="0"/>
        <v/>
      </c>
    </row>
    <row r="18" spans="1:11" x14ac:dyDescent="0.15">
      <c r="A18" t="str">
        <f ca="1">A!A18</f>
        <v>Série (Jour) 14</v>
      </c>
      <c r="B18" s="44"/>
      <c r="C18" s="44"/>
      <c r="D18" s="44"/>
      <c r="E18" s="44"/>
      <c r="F18" s="44"/>
      <c r="G18" s="44"/>
      <c r="I18" s="7">
        <f t="shared" si="1"/>
        <v>0</v>
      </c>
      <c r="J18" s="1" t="str">
        <f t="shared" si="2"/>
        <v/>
      </c>
      <c r="K18" s="3" t="str">
        <f t="shared" si="0"/>
        <v/>
      </c>
    </row>
    <row r="19" spans="1:11" x14ac:dyDescent="0.15">
      <c r="A19" t="str">
        <f ca="1">A!A19</f>
        <v>Série (Jour) 15</v>
      </c>
      <c r="B19" s="44"/>
      <c r="C19" s="44"/>
      <c r="D19" s="44"/>
      <c r="E19" s="44"/>
      <c r="F19" s="44"/>
      <c r="G19" s="44"/>
      <c r="I19" s="7">
        <f t="shared" si="1"/>
        <v>0</v>
      </c>
      <c r="J19" s="1" t="str">
        <f t="shared" si="2"/>
        <v/>
      </c>
      <c r="K19" s="3" t="str">
        <f t="shared" si="0"/>
        <v/>
      </c>
    </row>
    <row r="20" spans="1:11" x14ac:dyDescent="0.15">
      <c r="A20" t="str">
        <f ca="1">A!A20</f>
        <v>Série (Jour) 16</v>
      </c>
      <c r="B20" s="44"/>
      <c r="C20" s="44"/>
      <c r="D20" s="44"/>
      <c r="E20" s="44"/>
      <c r="F20" s="44"/>
      <c r="G20" s="44"/>
      <c r="I20" s="7">
        <f t="shared" si="1"/>
        <v>0</v>
      </c>
      <c r="J20" s="1" t="str">
        <f t="shared" si="2"/>
        <v/>
      </c>
      <c r="K20" s="3" t="str">
        <f t="shared" si="0"/>
        <v/>
      </c>
    </row>
    <row r="21" spans="1:11" x14ac:dyDescent="0.15">
      <c r="A21" t="str">
        <f ca="1">A!A21</f>
        <v>Série (Jour) 17</v>
      </c>
      <c r="B21" s="44"/>
      <c r="C21" s="44"/>
      <c r="D21" s="44"/>
      <c r="E21" s="44"/>
      <c r="F21" s="44"/>
      <c r="G21" s="44"/>
      <c r="I21" s="7">
        <f t="shared" si="1"/>
        <v>0</v>
      </c>
      <c r="J21" s="1" t="str">
        <f t="shared" si="2"/>
        <v/>
      </c>
      <c r="K21" s="3" t="str">
        <f t="shared" si="0"/>
        <v/>
      </c>
    </row>
    <row r="22" spans="1:11" x14ac:dyDescent="0.15">
      <c r="A22" t="str">
        <f ca="1">A!A22</f>
        <v>Série (Jour) 18</v>
      </c>
      <c r="B22" s="44"/>
      <c r="C22" s="44"/>
      <c r="D22" s="44"/>
      <c r="E22" s="44"/>
      <c r="F22" s="44"/>
      <c r="G22" s="44"/>
      <c r="I22" s="7">
        <f t="shared" si="1"/>
        <v>0</v>
      </c>
      <c r="J22" s="1" t="str">
        <f t="shared" si="2"/>
        <v/>
      </c>
      <c r="K22" s="3" t="str">
        <f t="shared" si="0"/>
        <v/>
      </c>
    </row>
    <row r="23" spans="1:11" x14ac:dyDescent="0.15">
      <c r="A23" t="str">
        <f ca="1">A!A23</f>
        <v>Série (Jour) 19</v>
      </c>
      <c r="B23" s="44"/>
      <c r="C23" s="44"/>
      <c r="D23" s="44"/>
      <c r="E23" s="44"/>
      <c r="F23" s="44"/>
      <c r="G23" s="44"/>
      <c r="I23" s="7">
        <f t="shared" si="1"/>
        <v>0</v>
      </c>
      <c r="J23" s="1" t="str">
        <f t="shared" si="2"/>
        <v/>
      </c>
      <c r="K23" s="3" t="str">
        <f t="shared" si="0"/>
        <v/>
      </c>
    </row>
    <row r="24" spans="1:11" x14ac:dyDescent="0.15">
      <c r="A24" t="str">
        <f ca="1">A!A24</f>
        <v>Série (Jour) 20</v>
      </c>
      <c r="B24" s="44"/>
      <c r="C24" s="44"/>
      <c r="D24" s="44"/>
      <c r="E24" s="44"/>
      <c r="F24" s="44"/>
      <c r="G24" s="44"/>
      <c r="I24" s="7">
        <f t="shared" si="1"/>
        <v>0</v>
      </c>
      <c r="J24" s="1" t="str">
        <f t="shared" si="2"/>
        <v/>
      </c>
      <c r="K24" s="3" t="str">
        <f t="shared" si="0"/>
        <v/>
      </c>
    </row>
    <row r="25" spans="1:11" s="2" customFormat="1" x14ac:dyDescent="0.15"/>
    <row r="26" spans="1:11" x14ac:dyDescent="0.15">
      <c r="A26" t="str">
        <f ca="1">A!A26</f>
        <v>Nombre de séries (I)</v>
      </c>
      <c r="B26">
        <f>COUNT(B5:B24)</f>
        <v>2</v>
      </c>
    </row>
    <row r="27" spans="1:11" x14ac:dyDescent="0.15">
      <c r="A27" t="str">
        <f ca="1">A!A27</f>
        <v>Nombre de mesures (IJ)</v>
      </c>
      <c r="B27">
        <f>COUNT(B5:G24)</f>
        <v>4</v>
      </c>
    </row>
    <row r="28" spans="1:11" x14ac:dyDescent="0.15">
      <c r="A28" t="str">
        <f ca="1">A!A28</f>
        <v>Nombre de répétitions (J)</v>
      </c>
      <c r="B28">
        <f>IF(I5*B26&lt;&gt;B27,"Calcul impossible",I5)</f>
        <v>2</v>
      </c>
    </row>
    <row r="29" spans="1:11" x14ac:dyDescent="0.15">
      <c r="A29" t="str">
        <f ca="1">A!A29</f>
        <v>SCE résiduelle</v>
      </c>
      <c r="B29" s="1">
        <f>SUM(J5:J24)</f>
        <v>0.8449999999999992</v>
      </c>
    </row>
    <row r="30" spans="1:11" x14ac:dyDescent="0.15">
      <c r="A30" t="str">
        <f ca="1">A!A30</f>
        <v>SCE totale</v>
      </c>
      <c r="B30" s="1">
        <f>DEVSQ(B5:G24)</f>
        <v>0.84749999999999925</v>
      </c>
    </row>
    <row r="31" spans="1:11" x14ac:dyDescent="0.15">
      <c r="A31" t="str">
        <f ca="1">A!A31</f>
        <v>SCE inter-séries</v>
      </c>
      <c r="B31" s="1">
        <f>B30-B29</f>
        <v>2.5000000000000577E-3</v>
      </c>
    </row>
    <row r="32" spans="1:11" x14ac:dyDescent="0.15">
      <c r="A32" t="str">
        <f ca="1">A!A32</f>
        <v>Valeur intermédiaire de s²L</v>
      </c>
      <c r="B32" s="1">
        <f>((B31/(B26-1))-B33)/B28</f>
        <v>-0.20999999999999977</v>
      </c>
    </row>
    <row r="33" spans="1:10" x14ac:dyDescent="0.15">
      <c r="A33" t="str">
        <f ca="1">A!A33</f>
        <v>Variance de répétabilité (s²r)</v>
      </c>
      <c r="B33" s="1">
        <f>B29/(B27-B26)</f>
        <v>0.4224999999999996</v>
      </c>
    </row>
    <row r="34" spans="1:10" x14ac:dyDescent="0.15">
      <c r="A34" t="str">
        <f ca="1">A!A34</f>
        <v>Variance inter-séries (s²L)</v>
      </c>
      <c r="B34" s="1">
        <f>IF(B32&lt;0,0,B32)</f>
        <v>0</v>
      </c>
    </row>
    <row r="35" spans="1:10" x14ac:dyDescent="0.15">
      <c r="A35" t="str">
        <f ca="1">A!A35</f>
        <v>Variance de fidélité (s²FI)</v>
      </c>
      <c r="B35" s="1">
        <f>SUM(B33:B34)</f>
        <v>0.4224999999999996</v>
      </c>
    </row>
    <row r="36" spans="1:10" s="2" customFormat="1" x14ac:dyDescent="0.15">
      <c r="A36" s="2" t="str">
        <f ca="1">A!A36</f>
        <v>Fidélité</v>
      </c>
      <c r="B36" s="4"/>
    </row>
    <row r="37" spans="1:10" x14ac:dyDescent="0.15">
      <c r="A37" t="str">
        <f ca="1">A!A37</f>
        <v>Moyenne niveau</v>
      </c>
      <c r="B37" s="1">
        <f>AVERAGE(B5:G24)</f>
        <v>9.9749999999999996</v>
      </c>
    </row>
    <row r="38" spans="1:10" ht="12" customHeight="1" x14ac:dyDescent="0.15">
      <c r="A38" t="str">
        <f ca="1">A!A38</f>
        <v>Écart-type de répétabilité (sr)</v>
      </c>
      <c r="B38" s="1">
        <f>SQRT(B33)</f>
        <v>0.64999999999999969</v>
      </c>
    </row>
    <row r="39" spans="1:10" x14ac:dyDescent="0.15">
      <c r="A39" t="str">
        <f ca="1">A!A39</f>
        <v>Écart-type inter-séries (sL)</v>
      </c>
      <c r="B39" s="1">
        <f>SQRT(B34)</f>
        <v>0</v>
      </c>
    </row>
    <row r="40" spans="1:10" x14ac:dyDescent="0.15">
      <c r="A40" t="str">
        <f ca="1">A!A40</f>
        <v>Écart-type de fidélité (sFI)</v>
      </c>
      <c r="B40" s="1">
        <f>SQRT(B35)</f>
        <v>0.64999999999999969</v>
      </c>
    </row>
    <row r="41" spans="1:10" s="2" customFormat="1" x14ac:dyDescent="0.15">
      <c r="A41" s="2" t="str">
        <f ca="1">A!A41</f>
        <v>Justesse</v>
      </c>
      <c r="B41" s="9"/>
    </row>
    <row r="42" spans="1:10" x14ac:dyDescent="0.15">
      <c r="A42" t="str">
        <f ca="1">A!A42</f>
        <v>Biais relatif (%)</v>
      </c>
      <c r="B42" s="14">
        <f>(B37/B2)-1</f>
        <v>3.90625E-2</v>
      </c>
    </row>
    <row r="43" spans="1:10" s="2" customFormat="1" x14ac:dyDescent="0.15">
      <c r="A43" s="2" t="str">
        <f ca="1">A!A43</f>
        <v>Intervalle de tolérance (IT)</v>
      </c>
      <c r="B43" s="9"/>
    </row>
    <row r="44" spans="1:10" x14ac:dyDescent="0.15">
      <c r="A44" t="str">
        <f ca="1">A!A44</f>
        <v>Rapport des variances (R)</v>
      </c>
      <c r="B44" s="1">
        <f>B34/B33</f>
        <v>0</v>
      </c>
    </row>
    <row r="45" spans="1:10" x14ac:dyDescent="0.15">
      <c r="A45" t="str">
        <f ca="1">A!A45</f>
        <v>Coefficient B²</v>
      </c>
      <c r="B45" s="1">
        <f>(B44+1)/(B28*B44+1)</f>
        <v>1</v>
      </c>
    </row>
    <row r="46" spans="1:10" x14ac:dyDescent="0.15">
      <c r="A46" t="str">
        <f ca="1">A!A46</f>
        <v>Nombre de mesures corrigé (Ne)</v>
      </c>
      <c r="B46" s="1">
        <f>SQRT(1+1/(B27*B45))</f>
        <v>1.1180339887498949</v>
      </c>
    </row>
    <row r="47" spans="1:10" x14ac:dyDescent="0.15">
      <c r="A47" t="str">
        <f ca="1">A!A47</f>
        <v>Nombre de degrés liberté</v>
      </c>
      <c r="B47" s="1">
        <f>(B44+1)^2/((B44+1/B28)^2/(B26-1)+(1-1/B28)/B27)</f>
        <v>2.6666666666666665</v>
      </c>
      <c r="J47" s="1"/>
    </row>
    <row r="48" spans="1:10" x14ac:dyDescent="0.15">
      <c r="A48" t="str">
        <f ca="1">A!A48</f>
        <v>Probabilité tolérance (bêta)</v>
      </c>
      <c r="B48" s="16">
        <f>Bilan!C2</f>
        <v>0.8</v>
      </c>
    </row>
    <row r="49" spans="1:2" x14ac:dyDescent="0.15">
      <c r="A49" t="str">
        <f ca="1">A!A49</f>
        <v>t Student bas</v>
      </c>
      <c r="B49" s="1">
        <f>TINV(1-B48,ROUNDDOWN(B47,0))</f>
        <v>1.8856180831641269</v>
      </c>
    </row>
    <row r="50" spans="1:2" x14ac:dyDescent="0.15">
      <c r="A50" t="str">
        <f ca="1">A!A50</f>
        <v>t Student haut</v>
      </c>
      <c r="B50" s="1">
        <f>TINV(1-B48,ROUNDUP(B47,0))</f>
        <v>1.63774435369621</v>
      </c>
    </row>
    <row r="51" spans="1:2" x14ac:dyDescent="0.15">
      <c r="A51" t="str">
        <f ca="1">A!A51</f>
        <v>Facteur de couverture (ktol)</v>
      </c>
      <c r="B51" s="1">
        <f>B49-(B49-B50)*(B47-ROUNDDOWN(B47,0))</f>
        <v>1.7203689301855156</v>
      </c>
    </row>
    <row r="52" spans="1:2" x14ac:dyDescent="0.15">
      <c r="A52" t="str">
        <f ca="1">A!A52</f>
        <v>Écart-type du IT (sIT)</v>
      </c>
      <c r="B52" s="1">
        <f>B40*B46</f>
        <v>0.72672209268743138</v>
      </c>
    </row>
    <row r="53" spans="1:2" x14ac:dyDescent="0.15">
      <c r="A53" t="str">
        <f ca="1">A!A53</f>
        <v>Valeur basse intervalle tolérance</v>
      </c>
      <c r="B53" s="1">
        <f>B37-B51*B52</f>
        <v>8.7247698908611433</v>
      </c>
    </row>
    <row r="54" spans="1:2" x14ac:dyDescent="0.15">
      <c r="A54" t="str">
        <f ca="1">A!A54</f>
        <v>Valeur haute intervalle tolérance</v>
      </c>
      <c r="B54" s="1">
        <f>B37+B51*B52</f>
        <v>11.225230109138856</v>
      </c>
    </row>
    <row r="55" spans="1:2" s="2" customFormat="1" x14ac:dyDescent="0.15">
      <c r="A55" s="2" t="str">
        <f ca="1">A!A55</f>
        <v>Incertitude</v>
      </c>
      <c r="B55" s="4"/>
    </row>
    <row r="56" spans="1:2" x14ac:dyDescent="0.15">
      <c r="A56" t="str">
        <f ca="1">A!A56</f>
        <v>Incertitude-type composée</v>
      </c>
      <c r="B56" s="1">
        <f>B52</f>
        <v>0.72672209268743138</v>
      </c>
    </row>
    <row r="57" spans="1:2" x14ac:dyDescent="0.15">
      <c r="A57" t="str">
        <f ca="1">A!A57</f>
        <v>Incertitude étendue</v>
      </c>
      <c r="B57" s="1">
        <f>2*B56</f>
        <v>1.4534441853748628</v>
      </c>
    </row>
    <row r="58" spans="1:2" x14ac:dyDescent="0.15">
      <c r="A58" t="str">
        <f ca="1">A!A58</f>
        <v>Incertitude relative (%)</v>
      </c>
      <c r="B58" s="16">
        <f>B57/B2</f>
        <v>0.1514004359765482</v>
      </c>
    </row>
    <row r="59" spans="1:2" x14ac:dyDescent="0.15">
      <c r="A59" t="str">
        <f ca="1">A!A59</f>
        <v>Limite basse incertitude relative (%)</v>
      </c>
      <c r="B59" s="25">
        <f>1-B58</f>
        <v>0.84859956402345182</v>
      </c>
    </row>
    <row r="60" spans="1:2" x14ac:dyDescent="0.15">
      <c r="A60" t="str">
        <f ca="1">A!A60</f>
        <v>Limite haute incertitude relative (%)</v>
      </c>
      <c r="B60" s="25">
        <f>1+B58</f>
        <v>1.1514004359765482</v>
      </c>
    </row>
  </sheetData>
  <sheetProtection password="D828" sheet="1" objects="1" scenarios="1"/>
  <phoneticPr fontId="2" type="noConversion"/>
  <printOptions headings="1" gridLines="1"/>
  <pageMargins left="0.78740157499999996" right="0.78740157499999996" top="0.56999999999999995" bottom="0.56999999999999995" header="0.33" footer="0.34"/>
  <pageSetup paperSize="9" scale="96" orientation="landscape" horizontalDpi="300" verticalDpi="300" r:id="rId1"/>
  <headerFooter alignWithMargins="0">
    <oddFooter>&amp;A&amp;RPage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0"/>
  <dimension ref="A1:K60"/>
  <sheetViews>
    <sheetView zoomScaleNormal="100" workbookViewId="0">
      <selection activeCell="B37" sqref="B37"/>
    </sheetView>
  </sheetViews>
  <sheetFormatPr baseColWidth="10" defaultRowHeight="11.25" x14ac:dyDescent="0.15"/>
  <cols>
    <col min="1" max="1" width="26.875" customWidth="1"/>
    <col min="2" max="7" width="15" customWidth="1"/>
    <col min="8" max="11" width="8.125" hidden="1" customWidth="1"/>
    <col min="12" max="12" width="4.5" customWidth="1"/>
  </cols>
  <sheetData>
    <row r="1" spans="1:11" s="2" customFormat="1" ht="12" thickBot="1" x14ac:dyDescent="0.2">
      <c r="A1" s="2" t="str">
        <f ca="1">A!A1</f>
        <v>Niveau</v>
      </c>
      <c r="B1" s="2" t="s">
        <v>8</v>
      </c>
    </row>
    <row r="2" spans="1:11" ht="12" thickBot="1" x14ac:dyDescent="0.2">
      <c r="A2" s="2" t="str">
        <f ca="1">A!A2</f>
        <v>Valeur de référence</v>
      </c>
      <c r="B2" s="23">
        <v>11.6</v>
      </c>
    </row>
    <row r="4" spans="1:11" x14ac:dyDescent="0.15">
      <c r="B4" t="str">
        <f>A!B4</f>
        <v>Rep 1</v>
      </c>
      <c r="C4" t="str">
        <f>A!C4</f>
        <v>Rep 2</v>
      </c>
      <c r="D4" t="str">
        <f>A!D4</f>
        <v>Rep 3</v>
      </c>
      <c r="E4" t="str">
        <f>A!E4</f>
        <v>Rep 4</v>
      </c>
      <c r="F4" t="str">
        <f>A!F4</f>
        <v>Rep 5</v>
      </c>
      <c r="G4" t="str">
        <f>A!G4</f>
        <v>Rep 6</v>
      </c>
      <c r="I4" t="s">
        <v>1</v>
      </c>
      <c r="J4" t="s">
        <v>2</v>
      </c>
      <c r="K4" t="s">
        <v>81</v>
      </c>
    </row>
    <row r="5" spans="1:11" x14ac:dyDescent="0.15">
      <c r="A5" t="str">
        <f ca="1">A!A5</f>
        <v>Série (Jour) 01</v>
      </c>
      <c r="B5" s="44">
        <v>11.3</v>
      </c>
      <c r="C5" s="44">
        <v>12.6</v>
      </c>
      <c r="D5" s="44"/>
      <c r="E5" s="44"/>
      <c r="F5" s="44"/>
      <c r="G5" s="44"/>
      <c r="I5" s="7">
        <f>COUNT(B5:G5)</f>
        <v>2</v>
      </c>
      <c r="J5" s="1">
        <f>IF(I5=0,"",DEVSQ(B5:G5))</f>
        <v>0.84499999999999864</v>
      </c>
      <c r="K5" s="3">
        <f t="shared" ref="K5:K24" si="0">IF(I5=0,"",AVERAGE(B5:G5))</f>
        <v>11.95</v>
      </c>
    </row>
    <row r="6" spans="1:11" x14ac:dyDescent="0.15">
      <c r="A6" t="str">
        <f ca="1">A!A6</f>
        <v>Série (Jour) 02</v>
      </c>
      <c r="B6" s="44">
        <v>11.7</v>
      </c>
      <c r="C6" s="44">
        <v>12.3</v>
      </c>
      <c r="D6" s="44"/>
      <c r="E6" s="44"/>
      <c r="F6" s="44"/>
      <c r="G6" s="44"/>
      <c r="I6" s="7">
        <f t="shared" ref="I6:I24" si="1">COUNT(B6:G6)</f>
        <v>2</v>
      </c>
      <c r="J6" s="1">
        <f t="shared" ref="J6:J24" si="2">IF(I6=0,"",DEVSQ(B6:G6))</f>
        <v>0.18000000000000085</v>
      </c>
      <c r="K6" s="3">
        <f t="shared" si="0"/>
        <v>12</v>
      </c>
    </row>
    <row r="7" spans="1:11" x14ac:dyDescent="0.15">
      <c r="A7" t="str">
        <f ca="1">A!A7</f>
        <v>Série (Jour) 03</v>
      </c>
      <c r="B7" s="44"/>
      <c r="C7" s="44"/>
      <c r="D7" s="44"/>
      <c r="E7" s="44"/>
      <c r="F7" s="44"/>
      <c r="G7" s="44"/>
      <c r="I7" s="7">
        <f t="shared" si="1"/>
        <v>0</v>
      </c>
      <c r="J7" s="1" t="str">
        <f t="shared" si="2"/>
        <v/>
      </c>
      <c r="K7" s="3" t="str">
        <f t="shared" si="0"/>
        <v/>
      </c>
    </row>
    <row r="8" spans="1:11" x14ac:dyDescent="0.15">
      <c r="A8" t="str">
        <f ca="1">A!A8</f>
        <v>Série (Jour) 04</v>
      </c>
      <c r="B8" s="44"/>
      <c r="C8" s="44"/>
      <c r="D8" s="44"/>
      <c r="E8" s="44"/>
      <c r="F8" s="44"/>
      <c r="G8" s="44"/>
      <c r="I8" s="7">
        <f t="shared" si="1"/>
        <v>0</v>
      </c>
      <c r="J8" s="1" t="str">
        <f t="shared" si="2"/>
        <v/>
      </c>
      <c r="K8" s="3" t="str">
        <f t="shared" si="0"/>
        <v/>
      </c>
    </row>
    <row r="9" spans="1:11" x14ac:dyDescent="0.15">
      <c r="A9" t="str">
        <f ca="1">A!A9</f>
        <v>Série (Jour) 05</v>
      </c>
      <c r="B9" s="44"/>
      <c r="C9" s="44"/>
      <c r="D9" s="44"/>
      <c r="E9" s="44"/>
      <c r="F9" s="44"/>
      <c r="G9" s="44"/>
      <c r="I9" s="7">
        <f t="shared" si="1"/>
        <v>0</v>
      </c>
      <c r="J9" s="1" t="str">
        <f t="shared" si="2"/>
        <v/>
      </c>
      <c r="K9" s="3" t="str">
        <f t="shared" si="0"/>
        <v/>
      </c>
    </row>
    <row r="10" spans="1:11" x14ac:dyDescent="0.15">
      <c r="A10" t="str">
        <f ca="1">A!A10</f>
        <v>Série (Jour) 06</v>
      </c>
      <c r="B10" s="44"/>
      <c r="C10" s="44"/>
      <c r="D10" s="44"/>
      <c r="E10" s="44"/>
      <c r="F10" s="44"/>
      <c r="G10" s="44"/>
      <c r="I10" s="7">
        <f t="shared" si="1"/>
        <v>0</v>
      </c>
      <c r="J10" s="1" t="str">
        <f t="shared" si="2"/>
        <v/>
      </c>
      <c r="K10" s="3" t="str">
        <f t="shared" si="0"/>
        <v/>
      </c>
    </row>
    <row r="11" spans="1:11" x14ac:dyDescent="0.15">
      <c r="A11" t="str">
        <f ca="1">A!A11</f>
        <v>Série (Jour) 07</v>
      </c>
      <c r="B11" s="44"/>
      <c r="C11" s="44"/>
      <c r="D11" s="44"/>
      <c r="E11" s="44"/>
      <c r="F11" s="44"/>
      <c r="G11" s="44"/>
      <c r="I11" s="7">
        <f t="shared" si="1"/>
        <v>0</v>
      </c>
      <c r="J11" s="1" t="str">
        <f t="shared" si="2"/>
        <v/>
      </c>
      <c r="K11" s="3" t="str">
        <f t="shared" si="0"/>
        <v/>
      </c>
    </row>
    <row r="12" spans="1:11" x14ac:dyDescent="0.15">
      <c r="A12" t="str">
        <f ca="1">A!A12</f>
        <v>Série (Jour) 08</v>
      </c>
      <c r="B12" s="44"/>
      <c r="C12" s="44"/>
      <c r="D12" s="44"/>
      <c r="E12" s="44"/>
      <c r="F12" s="44"/>
      <c r="G12" s="44"/>
      <c r="I12" s="7">
        <f t="shared" si="1"/>
        <v>0</v>
      </c>
      <c r="J12" s="1" t="str">
        <f t="shared" si="2"/>
        <v/>
      </c>
      <c r="K12" s="3" t="str">
        <f t="shared" si="0"/>
        <v/>
      </c>
    </row>
    <row r="13" spans="1:11" x14ac:dyDescent="0.15">
      <c r="A13" t="str">
        <f ca="1">A!A13</f>
        <v>Série (Jour) 09</v>
      </c>
      <c r="B13" s="44"/>
      <c r="C13" s="44"/>
      <c r="D13" s="44"/>
      <c r="E13" s="44"/>
      <c r="F13" s="44"/>
      <c r="G13" s="44"/>
      <c r="I13" s="7">
        <f t="shared" si="1"/>
        <v>0</v>
      </c>
      <c r="J13" s="1" t="str">
        <f t="shared" si="2"/>
        <v/>
      </c>
      <c r="K13" s="3" t="str">
        <f t="shared" si="0"/>
        <v/>
      </c>
    </row>
    <row r="14" spans="1:11" x14ac:dyDescent="0.15">
      <c r="A14" t="str">
        <f ca="1">A!A14</f>
        <v>Série (Jour) 10</v>
      </c>
      <c r="B14" s="44"/>
      <c r="C14" s="44"/>
      <c r="D14" s="44"/>
      <c r="E14" s="44"/>
      <c r="F14" s="44"/>
      <c r="G14" s="44"/>
      <c r="I14" s="7">
        <f t="shared" si="1"/>
        <v>0</v>
      </c>
      <c r="J14" s="1" t="str">
        <f t="shared" si="2"/>
        <v/>
      </c>
      <c r="K14" s="3" t="str">
        <f t="shared" si="0"/>
        <v/>
      </c>
    </row>
    <row r="15" spans="1:11" x14ac:dyDescent="0.15">
      <c r="A15" t="str">
        <f ca="1">A!A15</f>
        <v>Série (Jour) 11</v>
      </c>
      <c r="B15" s="44"/>
      <c r="C15" s="44"/>
      <c r="D15" s="44"/>
      <c r="E15" s="44"/>
      <c r="F15" s="44"/>
      <c r="G15" s="44"/>
      <c r="I15" s="7">
        <f t="shared" si="1"/>
        <v>0</v>
      </c>
      <c r="J15" s="1" t="str">
        <f t="shared" si="2"/>
        <v/>
      </c>
      <c r="K15" s="3" t="str">
        <f t="shared" si="0"/>
        <v/>
      </c>
    </row>
    <row r="16" spans="1:11" x14ac:dyDescent="0.15">
      <c r="A16" t="str">
        <f ca="1">A!A16</f>
        <v>Série (Jour) 12</v>
      </c>
      <c r="B16" s="44"/>
      <c r="C16" s="44"/>
      <c r="D16" s="44"/>
      <c r="E16" s="44"/>
      <c r="F16" s="44"/>
      <c r="G16" s="44"/>
      <c r="I16" s="7">
        <f t="shared" si="1"/>
        <v>0</v>
      </c>
      <c r="J16" s="1" t="str">
        <f t="shared" si="2"/>
        <v/>
      </c>
      <c r="K16" s="3" t="str">
        <f t="shared" si="0"/>
        <v/>
      </c>
    </row>
    <row r="17" spans="1:11" x14ac:dyDescent="0.15">
      <c r="A17" t="str">
        <f ca="1">A!A17</f>
        <v>Série (Jour) 13</v>
      </c>
      <c r="B17" s="44"/>
      <c r="C17" s="44"/>
      <c r="D17" s="44"/>
      <c r="E17" s="44"/>
      <c r="F17" s="44"/>
      <c r="G17" s="44"/>
      <c r="I17" s="7">
        <f t="shared" si="1"/>
        <v>0</v>
      </c>
      <c r="J17" s="1" t="str">
        <f t="shared" si="2"/>
        <v/>
      </c>
      <c r="K17" s="3" t="str">
        <f t="shared" si="0"/>
        <v/>
      </c>
    </row>
    <row r="18" spans="1:11" x14ac:dyDescent="0.15">
      <c r="A18" t="str">
        <f ca="1">A!A18</f>
        <v>Série (Jour) 14</v>
      </c>
      <c r="B18" s="44"/>
      <c r="C18" s="44"/>
      <c r="D18" s="44"/>
      <c r="E18" s="44"/>
      <c r="F18" s="44"/>
      <c r="G18" s="44"/>
      <c r="I18" s="7">
        <f t="shared" si="1"/>
        <v>0</v>
      </c>
      <c r="J18" s="1" t="str">
        <f t="shared" si="2"/>
        <v/>
      </c>
      <c r="K18" s="3" t="str">
        <f t="shared" si="0"/>
        <v/>
      </c>
    </row>
    <row r="19" spans="1:11" x14ac:dyDescent="0.15">
      <c r="A19" t="str">
        <f ca="1">A!A19</f>
        <v>Série (Jour) 15</v>
      </c>
      <c r="B19" s="44"/>
      <c r="C19" s="44"/>
      <c r="D19" s="44"/>
      <c r="E19" s="44"/>
      <c r="F19" s="44"/>
      <c r="G19" s="44"/>
      <c r="I19" s="7">
        <f t="shared" si="1"/>
        <v>0</v>
      </c>
      <c r="J19" s="1" t="str">
        <f t="shared" si="2"/>
        <v/>
      </c>
      <c r="K19" s="3" t="str">
        <f t="shared" si="0"/>
        <v/>
      </c>
    </row>
    <row r="20" spans="1:11" x14ac:dyDescent="0.15">
      <c r="A20" t="str">
        <f ca="1">A!A20</f>
        <v>Série (Jour) 16</v>
      </c>
      <c r="B20" s="44"/>
      <c r="C20" s="44"/>
      <c r="D20" s="44"/>
      <c r="E20" s="44"/>
      <c r="F20" s="44"/>
      <c r="G20" s="44"/>
      <c r="I20" s="7">
        <f t="shared" si="1"/>
        <v>0</v>
      </c>
      <c r="J20" s="1" t="str">
        <f t="shared" si="2"/>
        <v/>
      </c>
      <c r="K20" s="3" t="str">
        <f t="shared" si="0"/>
        <v/>
      </c>
    </row>
    <row r="21" spans="1:11" x14ac:dyDescent="0.15">
      <c r="A21" t="str">
        <f ca="1">A!A21</f>
        <v>Série (Jour) 17</v>
      </c>
      <c r="B21" s="44"/>
      <c r="C21" s="44"/>
      <c r="D21" s="44"/>
      <c r="E21" s="44"/>
      <c r="F21" s="44"/>
      <c r="G21" s="44"/>
      <c r="I21" s="7">
        <f t="shared" si="1"/>
        <v>0</v>
      </c>
      <c r="J21" s="1" t="str">
        <f t="shared" si="2"/>
        <v/>
      </c>
      <c r="K21" s="3" t="str">
        <f t="shared" si="0"/>
        <v/>
      </c>
    </row>
    <row r="22" spans="1:11" x14ac:dyDescent="0.15">
      <c r="A22" t="str">
        <f ca="1">A!A22</f>
        <v>Série (Jour) 18</v>
      </c>
      <c r="B22" s="44"/>
      <c r="C22" s="44"/>
      <c r="D22" s="44"/>
      <c r="E22" s="44"/>
      <c r="F22" s="44"/>
      <c r="G22" s="44"/>
      <c r="I22" s="7">
        <f t="shared" si="1"/>
        <v>0</v>
      </c>
      <c r="J22" s="1" t="str">
        <f t="shared" si="2"/>
        <v/>
      </c>
      <c r="K22" s="3" t="str">
        <f t="shared" si="0"/>
        <v/>
      </c>
    </row>
    <row r="23" spans="1:11" x14ac:dyDescent="0.15">
      <c r="A23" t="str">
        <f ca="1">A!A23</f>
        <v>Série (Jour) 19</v>
      </c>
      <c r="B23" s="44"/>
      <c r="C23" s="44"/>
      <c r="D23" s="44"/>
      <c r="E23" s="44"/>
      <c r="F23" s="44"/>
      <c r="G23" s="44"/>
      <c r="I23" s="7">
        <f t="shared" si="1"/>
        <v>0</v>
      </c>
      <c r="J23" s="1" t="str">
        <f t="shared" si="2"/>
        <v/>
      </c>
      <c r="K23" s="3" t="str">
        <f t="shared" si="0"/>
        <v/>
      </c>
    </row>
    <row r="24" spans="1:11" x14ac:dyDescent="0.15">
      <c r="A24" t="str">
        <f ca="1">A!A24</f>
        <v>Série (Jour) 20</v>
      </c>
      <c r="B24" s="44"/>
      <c r="C24" s="44"/>
      <c r="D24" s="44"/>
      <c r="E24" s="44"/>
      <c r="F24" s="44"/>
      <c r="G24" s="44"/>
      <c r="I24" s="7">
        <f t="shared" si="1"/>
        <v>0</v>
      </c>
      <c r="J24" s="1" t="str">
        <f t="shared" si="2"/>
        <v/>
      </c>
      <c r="K24" s="3" t="str">
        <f t="shared" si="0"/>
        <v/>
      </c>
    </row>
    <row r="25" spans="1:11" s="2" customFormat="1" x14ac:dyDescent="0.15"/>
    <row r="26" spans="1:11" x14ac:dyDescent="0.15">
      <c r="A26" t="str">
        <f ca="1">A!A26</f>
        <v>Nombre de séries (I)</v>
      </c>
      <c r="B26">
        <f>COUNT(B5:B24)</f>
        <v>2</v>
      </c>
    </row>
    <row r="27" spans="1:11" x14ac:dyDescent="0.15">
      <c r="A27" t="str">
        <f ca="1">A!A27</f>
        <v>Nombre de mesures (IJ)</v>
      </c>
      <c r="B27">
        <f>COUNT(B5:G24)</f>
        <v>4</v>
      </c>
    </row>
    <row r="28" spans="1:11" x14ac:dyDescent="0.15">
      <c r="A28" t="str">
        <f ca="1">A!A28</f>
        <v>Nombre de répétitions (J)</v>
      </c>
      <c r="B28">
        <f>IF(I5*B26&lt;&gt;B27,"Calcul impossible",I5)</f>
        <v>2</v>
      </c>
    </row>
    <row r="29" spans="1:11" x14ac:dyDescent="0.15">
      <c r="A29" t="str">
        <f ca="1">A!A29</f>
        <v>SCE résiduelle</v>
      </c>
      <c r="B29" s="1">
        <f>SUM(J5:J24)</f>
        <v>1.0249999999999995</v>
      </c>
    </row>
    <row r="30" spans="1:11" x14ac:dyDescent="0.15">
      <c r="A30" t="str">
        <f ca="1">A!A30</f>
        <v>SCE totale</v>
      </c>
      <c r="B30" s="1">
        <f>DEVSQ(B5:G24)</f>
        <v>1.0274999999999994</v>
      </c>
    </row>
    <row r="31" spans="1:11" x14ac:dyDescent="0.15">
      <c r="A31" t="str">
        <f ca="1">A!A31</f>
        <v>SCE inter-séries</v>
      </c>
      <c r="B31" s="1">
        <f>B30-B29</f>
        <v>2.4999999999999467E-3</v>
      </c>
    </row>
    <row r="32" spans="1:11" x14ac:dyDescent="0.15">
      <c r="A32" t="str">
        <f ca="1">A!A32</f>
        <v>Valeur intermédiaire de s²L</v>
      </c>
      <c r="B32" s="1">
        <f>((B31/(B26-1))-B33)/B28</f>
        <v>-0.25499999999999989</v>
      </c>
    </row>
    <row r="33" spans="1:10" x14ac:dyDescent="0.15">
      <c r="A33" t="str">
        <f ca="1">A!A33</f>
        <v>Variance de répétabilité (s²r)</v>
      </c>
      <c r="B33" s="1">
        <f>B29/(B27-B26)</f>
        <v>0.51249999999999973</v>
      </c>
    </row>
    <row r="34" spans="1:10" x14ac:dyDescent="0.15">
      <c r="A34" t="str">
        <f ca="1">A!A34</f>
        <v>Variance inter-séries (s²L)</v>
      </c>
      <c r="B34" s="1">
        <f>IF(B32&lt;0,0,B32)</f>
        <v>0</v>
      </c>
    </row>
    <row r="35" spans="1:10" x14ac:dyDescent="0.15">
      <c r="A35" t="str">
        <f ca="1">A!A35</f>
        <v>Variance de fidélité (s²FI)</v>
      </c>
      <c r="B35" s="1">
        <f>SUM(B33:B34)</f>
        <v>0.51249999999999973</v>
      </c>
    </row>
    <row r="36" spans="1:10" s="2" customFormat="1" x14ac:dyDescent="0.15">
      <c r="A36" s="2" t="str">
        <f ca="1">A!A36</f>
        <v>Fidélité</v>
      </c>
      <c r="B36" s="4"/>
    </row>
    <row r="37" spans="1:10" x14ac:dyDescent="0.15">
      <c r="A37" t="str">
        <f ca="1">A!A37</f>
        <v>Moyenne niveau</v>
      </c>
      <c r="B37" s="1">
        <f>AVERAGE(B5:G24)</f>
        <v>11.974999999999998</v>
      </c>
    </row>
    <row r="38" spans="1:10" ht="12" customHeight="1" x14ac:dyDescent="0.15">
      <c r="A38" t="str">
        <f ca="1">A!A38</f>
        <v>Écart-type de répétabilité (sr)</v>
      </c>
      <c r="B38" s="1">
        <f>SQRT(B33)</f>
        <v>0.71589105316381751</v>
      </c>
    </row>
    <row r="39" spans="1:10" x14ac:dyDescent="0.15">
      <c r="A39" t="str">
        <f ca="1">A!A39</f>
        <v>Écart-type inter-séries (sL)</v>
      </c>
      <c r="B39" s="1">
        <f>SQRT(B34)</f>
        <v>0</v>
      </c>
    </row>
    <row r="40" spans="1:10" x14ac:dyDescent="0.15">
      <c r="A40" t="str">
        <f ca="1">A!A40</f>
        <v>Écart-type de fidélité (sFI)</v>
      </c>
      <c r="B40" s="1">
        <f>SQRT(B35)</f>
        <v>0.71589105316381751</v>
      </c>
    </row>
    <row r="41" spans="1:10" s="2" customFormat="1" x14ac:dyDescent="0.15">
      <c r="A41" s="2" t="str">
        <f ca="1">A!A41</f>
        <v>Justesse</v>
      </c>
      <c r="B41" s="9"/>
    </row>
    <row r="42" spans="1:10" x14ac:dyDescent="0.15">
      <c r="A42" t="str">
        <f ca="1">A!A42</f>
        <v>Biais relatif (%)</v>
      </c>
      <c r="B42" s="14">
        <f>(B37/B2)-1</f>
        <v>3.2327586206896353E-2</v>
      </c>
    </row>
    <row r="43" spans="1:10" s="2" customFormat="1" x14ac:dyDescent="0.15">
      <c r="A43" s="2" t="str">
        <f ca="1">A!A43</f>
        <v>Intervalle de tolérance (IT)</v>
      </c>
      <c r="B43" s="9"/>
    </row>
    <row r="44" spans="1:10" x14ac:dyDescent="0.15">
      <c r="A44" t="str">
        <f ca="1">A!A44</f>
        <v>Rapport des variances (R)</v>
      </c>
      <c r="B44" s="1">
        <f>B34/B33</f>
        <v>0</v>
      </c>
    </row>
    <row r="45" spans="1:10" x14ac:dyDescent="0.15">
      <c r="A45" t="str">
        <f ca="1">A!A45</f>
        <v>Coefficient B²</v>
      </c>
      <c r="B45" s="1">
        <f>(B44+1)/(B28*B44+1)</f>
        <v>1</v>
      </c>
    </row>
    <row r="46" spans="1:10" x14ac:dyDescent="0.15">
      <c r="A46" t="str">
        <f ca="1">A!A46</f>
        <v>Nombre de mesures corrigé (Ne)</v>
      </c>
      <c r="B46" s="1">
        <f>SQRT(1+1/(B27*B45))</f>
        <v>1.1180339887498949</v>
      </c>
    </row>
    <row r="47" spans="1:10" x14ac:dyDescent="0.15">
      <c r="A47" t="str">
        <f ca="1">A!A47</f>
        <v>Nombre de degrés liberté</v>
      </c>
      <c r="B47" s="1">
        <f>(B44+1)^2/((B44+1/B28)^2/(B26-1)+(1-1/B28)/B27)</f>
        <v>2.6666666666666665</v>
      </c>
      <c r="J47" s="1"/>
    </row>
    <row r="48" spans="1:10" x14ac:dyDescent="0.15">
      <c r="A48" t="str">
        <f ca="1">A!A48</f>
        <v>Probabilité tolérance (bêta)</v>
      </c>
      <c r="B48" s="16">
        <f>Bilan!C2</f>
        <v>0.8</v>
      </c>
    </row>
    <row r="49" spans="1:2" x14ac:dyDescent="0.15">
      <c r="A49" t="str">
        <f ca="1">A!A49</f>
        <v>t Student bas</v>
      </c>
      <c r="B49" s="1">
        <f>TINV(1-B48,ROUNDDOWN(B47,0))</f>
        <v>1.8856180831641269</v>
      </c>
    </row>
    <row r="50" spans="1:2" x14ac:dyDescent="0.15">
      <c r="A50" t="str">
        <f ca="1">A!A50</f>
        <v>t Student haut</v>
      </c>
      <c r="B50" s="1">
        <f>TINV(1-B48,ROUNDUP(B47,0))</f>
        <v>1.63774435369621</v>
      </c>
    </row>
    <row r="51" spans="1:2" x14ac:dyDescent="0.15">
      <c r="A51" t="str">
        <f ca="1">A!A51</f>
        <v>Facteur de couverture (ktol)</v>
      </c>
      <c r="B51" s="1">
        <f>B49-(B49-B50)*(B47-ROUNDDOWN(B47,0))</f>
        <v>1.7203689301855156</v>
      </c>
    </row>
    <row r="52" spans="1:2" x14ac:dyDescent="0.15">
      <c r="A52" t="str">
        <f ca="1">A!A52</f>
        <v>Écart-type du IT (sIT)</v>
      </c>
      <c r="B52" s="1">
        <f>B40*B46</f>
        <v>0.80039052967910596</v>
      </c>
    </row>
    <row r="53" spans="1:2" x14ac:dyDescent="0.15">
      <c r="A53" t="str">
        <f ca="1">A!A53</f>
        <v>Valeur basse intervalle tolérance</v>
      </c>
      <c r="B53" s="1">
        <f>B37-B51*B52</f>
        <v>10.598033000725337</v>
      </c>
    </row>
    <row r="54" spans="1:2" x14ac:dyDescent="0.15">
      <c r="A54" t="str">
        <f ca="1">A!A54</f>
        <v>Valeur haute intervalle tolérance</v>
      </c>
      <c r="B54" s="1">
        <f>B37+B51*B52</f>
        <v>13.351966999274659</v>
      </c>
    </row>
    <row r="55" spans="1:2" s="2" customFormat="1" x14ac:dyDescent="0.15">
      <c r="A55" s="2" t="str">
        <f ca="1">A!A55</f>
        <v>Incertitude</v>
      </c>
      <c r="B55" s="4"/>
    </row>
    <row r="56" spans="1:2" x14ac:dyDescent="0.15">
      <c r="A56" t="str">
        <f ca="1">A!A56</f>
        <v>Incertitude-type composée</v>
      </c>
      <c r="B56" s="1">
        <f>B52</f>
        <v>0.80039052967910596</v>
      </c>
    </row>
    <row r="57" spans="1:2" x14ac:dyDescent="0.15">
      <c r="A57" t="str">
        <f ca="1">A!A57</f>
        <v>Incertitude étendue</v>
      </c>
      <c r="B57" s="1">
        <f>2*B56</f>
        <v>1.6007810593582119</v>
      </c>
    </row>
    <row r="58" spans="1:2" x14ac:dyDescent="0.15">
      <c r="A58" t="str">
        <f ca="1">A!A58</f>
        <v>Incertitude relative (%)</v>
      </c>
      <c r="B58" s="16">
        <f>B57/B2</f>
        <v>0.13799836718605277</v>
      </c>
    </row>
    <row r="59" spans="1:2" x14ac:dyDescent="0.15">
      <c r="A59" t="str">
        <f ca="1">A!A59</f>
        <v>Limite basse incertitude relative (%)</v>
      </c>
      <c r="B59" s="25">
        <f>1-B58</f>
        <v>0.86200163281394726</v>
      </c>
    </row>
    <row r="60" spans="1:2" x14ac:dyDescent="0.15">
      <c r="A60" t="str">
        <f ca="1">A!A60</f>
        <v>Limite haute incertitude relative (%)</v>
      </c>
      <c r="B60" s="25">
        <f>1+B58</f>
        <v>1.1379983671860527</v>
      </c>
    </row>
  </sheetData>
  <sheetProtection password="D828" sheet="1" objects="1" scenarios="1"/>
  <phoneticPr fontId="2" type="noConversion"/>
  <printOptions headings="1" gridLines="1"/>
  <pageMargins left="0.78740157499999996" right="0.78740157499999996" top="0.56999999999999995" bottom="0.56999999999999995" header="0.33" footer="0.34"/>
  <pageSetup paperSize="9" scale="96" orientation="landscape" horizontalDpi="300" verticalDpi="300" r:id="rId1"/>
  <headerFooter alignWithMargins="0">
    <oddFooter>&amp;A&amp;RPage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K60"/>
  <sheetViews>
    <sheetView zoomScaleNormal="100" workbookViewId="0">
      <selection activeCell="B38" sqref="B38"/>
    </sheetView>
  </sheetViews>
  <sheetFormatPr baseColWidth="10" defaultRowHeight="11.25" x14ac:dyDescent="0.15"/>
  <cols>
    <col min="1" max="1" width="26.875" customWidth="1"/>
    <col min="2" max="7" width="15" customWidth="1"/>
    <col min="8" max="11" width="8.125" hidden="1" customWidth="1"/>
    <col min="12" max="12" width="4.5" customWidth="1"/>
  </cols>
  <sheetData>
    <row r="1" spans="1:11" s="2" customFormat="1" ht="12" thickBot="1" x14ac:dyDescent="0.2">
      <c r="A1" s="2" t="str">
        <f ca="1">A!A1</f>
        <v>Niveau</v>
      </c>
      <c r="B1" s="2" t="s">
        <v>9</v>
      </c>
    </row>
    <row r="2" spans="1:11" ht="12" thickBot="1" x14ac:dyDescent="0.2">
      <c r="A2" s="2" t="str">
        <f ca="1">A!A2</f>
        <v>Valeur de référence</v>
      </c>
      <c r="B2" s="23">
        <v>21.6</v>
      </c>
    </row>
    <row r="4" spans="1:11" x14ac:dyDescent="0.15">
      <c r="B4" t="str">
        <f>A!B4</f>
        <v>Rep 1</v>
      </c>
      <c r="C4" t="str">
        <f>A!C4</f>
        <v>Rep 2</v>
      </c>
      <c r="D4" t="str">
        <f>A!D4</f>
        <v>Rep 3</v>
      </c>
      <c r="E4" t="str">
        <f>A!E4</f>
        <v>Rep 4</v>
      </c>
      <c r="F4" t="str">
        <f>A!F4</f>
        <v>Rep 5</v>
      </c>
      <c r="G4" t="str">
        <f>A!G4</f>
        <v>Rep 6</v>
      </c>
      <c r="I4" t="s">
        <v>1</v>
      </c>
      <c r="J4" t="s">
        <v>2</v>
      </c>
      <c r="K4" t="s">
        <v>81</v>
      </c>
    </row>
    <row r="5" spans="1:11" x14ac:dyDescent="0.15">
      <c r="A5" t="str">
        <f ca="1">A!A5</f>
        <v>Série (Jour) 01</v>
      </c>
      <c r="B5" s="44">
        <v>21.2</v>
      </c>
      <c r="C5" s="44">
        <v>22.9</v>
      </c>
      <c r="D5" s="44"/>
      <c r="E5" s="44"/>
      <c r="F5" s="44"/>
      <c r="G5" s="44"/>
      <c r="I5" s="7">
        <f t="shared" ref="I5:I24" si="0">COUNT(B5:G5)</f>
        <v>2</v>
      </c>
      <c r="J5" s="1">
        <f t="shared" ref="J5:J24" si="1">IF(I5=0,"",DEVSQ(B5:G5))</f>
        <v>1.4449999999999987</v>
      </c>
      <c r="K5" s="3">
        <f t="shared" ref="K5:K24" si="2">IF(I5=0,"",AVERAGE(B5:G5))</f>
        <v>22.049999999999997</v>
      </c>
    </row>
    <row r="6" spans="1:11" x14ac:dyDescent="0.15">
      <c r="A6" t="str">
        <f ca="1">A!A6</f>
        <v>Série (Jour) 02</v>
      </c>
      <c r="B6" s="44">
        <v>21.4</v>
      </c>
      <c r="C6" s="44">
        <v>22.6</v>
      </c>
      <c r="D6" s="44"/>
      <c r="E6" s="44"/>
      <c r="F6" s="44"/>
      <c r="G6" s="44"/>
      <c r="I6" s="7">
        <f t="shared" si="0"/>
        <v>2</v>
      </c>
      <c r="J6" s="1">
        <f t="shared" si="1"/>
        <v>0.72000000000000342</v>
      </c>
      <c r="K6" s="3">
        <f t="shared" si="2"/>
        <v>22</v>
      </c>
    </row>
    <row r="7" spans="1:11" x14ac:dyDescent="0.15">
      <c r="A7" t="str">
        <f ca="1">A!A7</f>
        <v>Série (Jour) 03</v>
      </c>
      <c r="B7" s="44"/>
      <c r="C7" s="44"/>
      <c r="D7" s="44"/>
      <c r="E7" s="44"/>
      <c r="F7" s="44"/>
      <c r="G7" s="44"/>
      <c r="I7" s="7">
        <f t="shared" si="0"/>
        <v>0</v>
      </c>
      <c r="J7" s="1" t="str">
        <f t="shared" si="1"/>
        <v/>
      </c>
      <c r="K7" s="3" t="str">
        <f t="shared" si="2"/>
        <v/>
      </c>
    </row>
    <row r="8" spans="1:11" x14ac:dyDescent="0.15">
      <c r="A8" t="str">
        <f ca="1">A!A8</f>
        <v>Série (Jour) 04</v>
      </c>
      <c r="B8" s="44"/>
      <c r="C8" s="44"/>
      <c r="D8" s="44"/>
      <c r="E8" s="44"/>
      <c r="F8" s="44"/>
      <c r="G8" s="44"/>
      <c r="I8" s="7">
        <f t="shared" si="0"/>
        <v>0</v>
      </c>
      <c r="J8" s="1" t="str">
        <f t="shared" si="1"/>
        <v/>
      </c>
      <c r="K8" s="3" t="str">
        <f t="shared" si="2"/>
        <v/>
      </c>
    </row>
    <row r="9" spans="1:11" x14ac:dyDescent="0.15">
      <c r="A9" t="str">
        <f ca="1">A!A9</f>
        <v>Série (Jour) 05</v>
      </c>
      <c r="B9" s="44"/>
      <c r="C9" s="44"/>
      <c r="D9" s="44"/>
      <c r="E9" s="44"/>
      <c r="F9" s="44"/>
      <c r="G9" s="44"/>
      <c r="I9" s="7">
        <f t="shared" si="0"/>
        <v>0</v>
      </c>
      <c r="J9" s="1" t="str">
        <f t="shared" si="1"/>
        <v/>
      </c>
      <c r="K9" s="3" t="str">
        <f t="shared" si="2"/>
        <v/>
      </c>
    </row>
    <row r="10" spans="1:11" x14ac:dyDescent="0.15">
      <c r="A10" t="str">
        <f ca="1">A!A10</f>
        <v>Série (Jour) 06</v>
      </c>
      <c r="B10" s="44"/>
      <c r="C10" s="44"/>
      <c r="D10" s="44"/>
      <c r="E10" s="44"/>
      <c r="F10" s="44"/>
      <c r="G10" s="44"/>
      <c r="I10" s="7">
        <f t="shared" si="0"/>
        <v>0</v>
      </c>
      <c r="J10" s="1" t="str">
        <f t="shared" si="1"/>
        <v/>
      </c>
      <c r="K10" s="3" t="str">
        <f t="shared" si="2"/>
        <v/>
      </c>
    </row>
    <row r="11" spans="1:11" x14ac:dyDescent="0.15">
      <c r="A11" t="str">
        <f ca="1">A!A11</f>
        <v>Série (Jour) 07</v>
      </c>
      <c r="B11" s="44"/>
      <c r="C11" s="44"/>
      <c r="D11" s="44"/>
      <c r="E11" s="44"/>
      <c r="F11" s="44"/>
      <c r="G11" s="44"/>
      <c r="I11" s="7">
        <f t="shared" si="0"/>
        <v>0</v>
      </c>
      <c r="J11" s="1" t="str">
        <f t="shared" si="1"/>
        <v/>
      </c>
      <c r="K11" s="3" t="str">
        <f t="shared" si="2"/>
        <v/>
      </c>
    </row>
    <row r="12" spans="1:11" x14ac:dyDescent="0.15">
      <c r="A12" t="str">
        <f ca="1">A!A12</f>
        <v>Série (Jour) 08</v>
      </c>
      <c r="B12" s="44"/>
      <c r="C12" s="44"/>
      <c r="D12" s="44"/>
      <c r="E12" s="44"/>
      <c r="F12" s="44"/>
      <c r="G12" s="44"/>
      <c r="I12" s="7">
        <f t="shared" si="0"/>
        <v>0</v>
      </c>
      <c r="J12" s="1" t="str">
        <f t="shared" si="1"/>
        <v/>
      </c>
      <c r="K12" s="3" t="str">
        <f t="shared" si="2"/>
        <v/>
      </c>
    </row>
    <row r="13" spans="1:11" x14ac:dyDescent="0.15">
      <c r="A13" t="str">
        <f ca="1">A!A13</f>
        <v>Série (Jour) 09</v>
      </c>
      <c r="B13" s="44"/>
      <c r="C13" s="44"/>
      <c r="D13" s="44"/>
      <c r="E13" s="44"/>
      <c r="F13" s="44"/>
      <c r="G13" s="44"/>
      <c r="I13" s="7">
        <f t="shared" si="0"/>
        <v>0</v>
      </c>
      <c r="J13" s="1" t="str">
        <f t="shared" si="1"/>
        <v/>
      </c>
      <c r="K13" s="3" t="str">
        <f t="shared" si="2"/>
        <v/>
      </c>
    </row>
    <row r="14" spans="1:11" x14ac:dyDescent="0.15">
      <c r="A14" t="str">
        <f ca="1">A!A14</f>
        <v>Série (Jour) 10</v>
      </c>
      <c r="B14" s="44"/>
      <c r="C14" s="44"/>
      <c r="D14" s="44"/>
      <c r="E14" s="44"/>
      <c r="F14" s="44"/>
      <c r="G14" s="44"/>
      <c r="I14" s="7">
        <f t="shared" si="0"/>
        <v>0</v>
      </c>
      <c r="J14" s="1" t="str">
        <f t="shared" si="1"/>
        <v/>
      </c>
      <c r="K14" s="3" t="str">
        <f t="shared" si="2"/>
        <v/>
      </c>
    </row>
    <row r="15" spans="1:11" x14ac:dyDescent="0.15">
      <c r="A15" t="str">
        <f ca="1">A!A15</f>
        <v>Série (Jour) 11</v>
      </c>
      <c r="B15" s="44"/>
      <c r="C15" s="44"/>
      <c r="D15" s="44"/>
      <c r="E15" s="44"/>
      <c r="F15" s="44"/>
      <c r="G15" s="44"/>
      <c r="I15" s="7">
        <f t="shared" si="0"/>
        <v>0</v>
      </c>
      <c r="J15" s="1" t="str">
        <f t="shared" si="1"/>
        <v/>
      </c>
      <c r="K15" s="3" t="str">
        <f t="shared" si="2"/>
        <v/>
      </c>
    </row>
    <row r="16" spans="1:11" x14ac:dyDescent="0.15">
      <c r="A16" t="str">
        <f ca="1">A!A16</f>
        <v>Série (Jour) 12</v>
      </c>
      <c r="B16" s="44"/>
      <c r="C16" s="44"/>
      <c r="D16" s="44"/>
      <c r="E16" s="44"/>
      <c r="F16" s="44"/>
      <c r="G16" s="44"/>
      <c r="I16" s="7">
        <f t="shared" si="0"/>
        <v>0</v>
      </c>
      <c r="J16" s="1" t="str">
        <f t="shared" si="1"/>
        <v/>
      </c>
      <c r="K16" s="3" t="str">
        <f t="shared" si="2"/>
        <v/>
      </c>
    </row>
    <row r="17" spans="1:11" x14ac:dyDescent="0.15">
      <c r="A17" t="str">
        <f ca="1">A!A17</f>
        <v>Série (Jour) 13</v>
      </c>
      <c r="B17" s="44"/>
      <c r="C17" s="44"/>
      <c r="D17" s="44"/>
      <c r="E17" s="44"/>
      <c r="F17" s="44"/>
      <c r="G17" s="44"/>
      <c r="I17" s="7">
        <f t="shared" si="0"/>
        <v>0</v>
      </c>
      <c r="J17" s="1" t="str">
        <f t="shared" si="1"/>
        <v/>
      </c>
      <c r="K17" s="3" t="str">
        <f t="shared" si="2"/>
        <v/>
      </c>
    </row>
    <row r="18" spans="1:11" x14ac:dyDescent="0.15">
      <c r="A18" t="str">
        <f ca="1">A!A18</f>
        <v>Série (Jour) 14</v>
      </c>
      <c r="B18" s="44"/>
      <c r="C18" s="44"/>
      <c r="D18" s="44"/>
      <c r="E18" s="44"/>
      <c r="F18" s="44"/>
      <c r="G18" s="44"/>
      <c r="I18" s="7">
        <f t="shared" si="0"/>
        <v>0</v>
      </c>
      <c r="J18" s="1" t="str">
        <f t="shared" si="1"/>
        <v/>
      </c>
      <c r="K18" s="3" t="str">
        <f t="shared" si="2"/>
        <v/>
      </c>
    </row>
    <row r="19" spans="1:11" x14ac:dyDescent="0.15">
      <c r="A19" t="str">
        <f ca="1">A!A19</f>
        <v>Série (Jour) 15</v>
      </c>
      <c r="B19" s="44"/>
      <c r="C19" s="44"/>
      <c r="D19" s="44"/>
      <c r="E19" s="44"/>
      <c r="F19" s="44"/>
      <c r="G19" s="44"/>
      <c r="I19" s="7">
        <f t="shared" si="0"/>
        <v>0</v>
      </c>
      <c r="J19" s="1" t="str">
        <f t="shared" si="1"/>
        <v/>
      </c>
      <c r="K19" s="3" t="str">
        <f t="shared" si="2"/>
        <v/>
      </c>
    </row>
    <row r="20" spans="1:11" x14ac:dyDescent="0.15">
      <c r="A20" t="str">
        <f ca="1">A!A20</f>
        <v>Série (Jour) 16</v>
      </c>
      <c r="B20" s="44"/>
      <c r="C20" s="44"/>
      <c r="D20" s="44"/>
      <c r="E20" s="44"/>
      <c r="F20" s="44"/>
      <c r="G20" s="44"/>
      <c r="I20" s="7">
        <f t="shared" si="0"/>
        <v>0</v>
      </c>
      <c r="J20" s="1" t="str">
        <f t="shared" si="1"/>
        <v/>
      </c>
      <c r="K20" s="3" t="str">
        <f t="shared" si="2"/>
        <v/>
      </c>
    </row>
    <row r="21" spans="1:11" x14ac:dyDescent="0.15">
      <c r="A21" t="str">
        <f ca="1">A!A21</f>
        <v>Série (Jour) 17</v>
      </c>
      <c r="B21" s="44"/>
      <c r="C21" s="44"/>
      <c r="D21" s="44"/>
      <c r="E21" s="44"/>
      <c r="F21" s="44"/>
      <c r="G21" s="44"/>
      <c r="I21" s="7">
        <f t="shared" si="0"/>
        <v>0</v>
      </c>
      <c r="J21" s="1" t="str">
        <f t="shared" si="1"/>
        <v/>
      </c>
      <c r="K21" s="3" t="str">
        <f t="shared" si="2"/>
        <v/>
      </c>
    </row>
    <row r="22" spans="1:11" x14ac:dyDescent="0.15">
      <c r="A22" t="str">
        <f ca="1">A!A22</f>
        <v>Série (Jour) 18</v>
      </c>
      <c r="B22" s="44"/>
      <c r="C22" s="44"/>
      <c r="D22" s="44"/>
      <c r="E22" s="44"/>
      <c r="F22" s="44"/>
      <c r="G22" s="44"/>
      <c r="I22" s="7">
        <f t="shared" si="0"/>
        <v>0</v>
      </c>
      <c r="J22" s="1" t="str">
        <f t="shared" si="1"/>
        <v/>
      </c>
      <c r="K22" s="3" t="str">
        <f t="shared" si="2"/>
        <v/>
      </c>
    </row>
    <row r="23" spans="1:11" x14ac:dyDescent="0.15">
      <c r="A23" t="str">
        <f ca="1">A!A23</f>
        <v>Série (Jour) 19</v>
      </c>
      <c r="B23" s="44"/>
      <c r="C23" s="44"/>
      <c r="D23" s="44"/>
      <c r="E23" s="44"/>
      <c r="F23" s="44"/>
      <c r="G23" s="44"/>
      <c r="I23" s="7">
        <f t="shared" si="0"/>
        <v>0</v>
      </c>
      <c r="J23" s="1" t="str">
        <f t="shared" si="1"/>
        <v/>
      </c>
      <c r="K23" s="3" t="str">
        <f t="shared" si="2"/>
        <v/>
      </c>
    </row>
    <row r="24" spans="1:11" x14ac:dyDescent="0.15">
      <c r="A24" t="str">
        <f ca="1">A!A24</f>
        <v>Série (Jour) 20</v>
      </c>
      <c r="B24" s="44"/>
      <c r="C24" s="44"/>
      <c r="D24" s="44"/>
      <c r="E24" s="44"/>
      <c r="F24" s="44"/>
      <c r="G24" s="44"/>
      <c r="I24" s="7">
        <f t="shared" si="0"/>
        <v>0</v>
      </c>
      <c r="J24" s="1" t="str">
        <f t="shared" si="1"/>
        <v/>
      </c>
      <c r="K24" s="3" t="str">
        <f t="shared" si="2"/>
        <v/>
      </c>
    </row>
    <row r="25" spans="1:11" s="2" customFormat="1" x14ac:dyDescent="0.15"/>
    <row r="26" spans="1:11" x14ac:dyDescent="0.15">
      <c r="A26" t="str">
        <f ca="1">A!A26</f>
        <v>Nombre de séries (I)</v>
      </c>
      <c r="B26">
        <f>COUNT(B5:B24)</f>
        <v>2</v>
      </c>
    </row>
    <row r="27" spans="1:11" x14ac:dyDescent="0.15">
      <c r="A27" t="str">
        <f ca="1">A!A27</f>
        <v>Nombre de mesures (IJ)</v>
      </c>
      <c r="B27">
        <f>COUNT(B5:G24)</f>
        <v>4</v>
      </c>
    </row>
    <row r="28" spans="1:11" x14ac:dyDescent="0.15">
      <c r="A28" t="str">
        <f ca="1">A!A28</f>
        <v>Nombre de répétitions (J)</v>
      </c>
      <c r="B28">
        <f>IF(I5*B26&lt;&gt;B27,"Calcul impossible",I5)</f>
        <v>2</v>
      </c>
    </row>
    <row r="29" spans="1:11" x14ac:dyDescent="0.15">
      <c r="A29" t="str">
        <f ca="1">A!A29</f>
        <v>SCE résiduelle</v>
      </c>
      <c r="B29" s="1">
        <f>SUM(J5:J24)</f>
        <v>2.1650000000000023</v>
      </c>
    </row>
    <row r="30" spans="1:11" x14ac:dyDescent="0.15">
      <c r="A30" t="str">
        <f ca="1">A!A30</f>
        <v>SCE totale</v>
      </c>
      <c r="B30" s="1">
        <f>DEVSQ(B5:G24)</f>
        <v>2.1675000000000022</v>
      </c>
    </row>
    <row r="31" spans="1:11" x14ac:dyDescent="0.15">
      <c r="A31" t="str">
        <f ca="1">A!A31</f>
        <v>SCE inter-séries</v>
      </c>
      <c r="B31" s="1">
        <f>B30-B29</f>
        <v>2.4999999999999467E-3</v>
      </c>
    </row>
    <row r="32" spans="1:11" x14ac:dyDescent="0.15">
      <c r="A32" t="str">
        <f ca="1">A!A32</f>
        <v>Valeur intermédiaire de s²L</v>
      </c>
      <c r="B32" s="1">
        <f>((B31/(B26-1))-B33)/B28</f>
        <v>-0.54000000000000059</v>
      </c>
    </row>
    <row r="33" spans="1:10" x14ac:dyDescent="0.15">
      <c r="A33" t="str">
        <f ca="1">A!A33</f>
        <v>Variance de répétabilité (s²r)</v>
      </c>
      <c r="B33" s="1">
        <f>B29/(B27-B26)</f>
        <v>1.0825000000000011</v>
      </c>
    </row>
    <row r="34" spans="1:10" x14ac:dyDescent="0.15">
      <c r="A34" t="str">
        <f ca="1">A!A34</f>
        <v>Variance inter-séries (s²L)</v>
      </c>
      <c r="B34" s="1">
        <f>IF(B32&lt;0,0,B32)</f>
        <v>0</v>
      </c>
    </row>
    <row r="35" spans="1:10" x14ac:dyDescent="0.15">
      <c r="A35" t="str">
        <f ca="1">A!A35</f>
        <v>Variance de fidélité (s²FI)</v>
      </c>
      <c r="B35" s="1">
        <f>SUM(B33:B34)</f>
        <v>1.0825000000000011</v>
      </c>
    </row>
    <row r="36" spans="1:10" s="2" customFormat="1" x14ac:dyDescent="0.15">
      <c r="A36" s="2" t="str">
        <f ca="1">A!A36</f>
        <v>Fidélité</v>
      </c>
      <c r="B36" s="4"/>
    </row>
    <row r="37" spans="1:10" x14ac:dyDescent="0.15">
      <c r="A37" t="str">
        <f ca="1">A!A37</f>
        <v>Moyenne niveau</v>
      </c>
      <c r="B37" s="1">
        <f>AVERAGE(B5:G24)</f>
        <v>22.024999999999999</v>
      </c>
    </row>
    <row r="38" spans="1:10" ht="12" customHeight="1" x14ac:dyDescent="0.15">
      <c r="A38" t="str">
        <f ca="1">A!A38</f>
        <v>Écart-type de répétabilité (sr)</v>
      </c>
      <c r="B38" s="1">
        <f>SQRT(B33)</f>
        <v>1.0404326023342412</v>
      </c>
    </row>
    <row r="39" spans="1:10" x14ac:dyDescent="0.15">
      <c r="A39" t="str">
        <f ca="1">A!A39</f>
        <v>Écart-type inter-séries (sL)</v>
      </c>
      <c r="B39" s="1">
        <f>SQRT(B34)</f>
        <v>0</v>
      </c>
    </row>
    <row r="40" spans="1:10" x14ac:dyDescent="0.15">
      <c r="A40" t="str">
        <f ca="1">A!A40</f>
        <v>Écart-type de fidélité (sFI)</v>
      </c>
      <c r="B40" s="1">
        <f>SQRT(B35)</f>
        <v>1.0404326023342412</v>
      </c>
    </row>
    <row r="41" spans="1:10" s="2" customFormat="1" x14ac:dyDescent="0.15">
      <c r="A41" s="2" t="str">
        <f ca="1">A!A41</f>
        <v>Justesse</v>
      </c>
      <c r="B41" s="9"/>
    </row>
    <row r="42" spans="1:10" x14ac:dyDescent="0.15">
      <c r="A42" t="str">
        <f ca="1">A!A42</f>
        <v>Biais relatif (%)</v>
      </c>
      <c r="B42" s="14">
        <f>(B37/B2)-1</f>
        <v>1.9675925925925819E-2</v>
      </c>
    </row>
    <row r="43" spans="1:10" s="2" customFormat="1" x14ac:dyDescent="0.15">
      <c r="A43" s="2" t="str">
        <f ca="1">A!A43</f>
        <v>Intervalle de tolérance (IT)</v>
      </c>
      <c r="B43" s="9"/>
    </row>
    <row r="44" spans="1:10" x14ac:dyDescent="0.15">
      <c r="A44" t="str">
        <f ca="1">A!A44</f>
        <v>Rapport des variances (R)</v>
      </c>
      <c r="B44" s="1">
        <f>B34/B33</f>
        <v>0</v>
      </c>
    </row>
    <row r="45" spans="1:10" x14ac:dyDescent="0.15">
      <c r="A45" t="str">
        <f ca="1">A!A45</f>
        <v>Coefficient B²</v>
      </c>
      <c r="B45" s="1">
        <f>(B44+1)/(B28*B44+1)</f>
        <v>1</v>
      </c>
    </row>
    <row r="46" spans="1:10" x14ac:dyDescent="0.15">
      <c r="A46" t="str">
        <f ca="1">A!A46</f>
        <v>Nombre de mesures corrigé (Ne)</v>
      </c>
      <c r="B46" s="1">
        <f>SQRT(1+1/(B27*B45))</f>
        <v>1.1180339887498949</v>
      </c>
    </row>
    <row r="47" spans="1:10" x14ac:dyDescent="0.15">
      <c r="A47" t="str">
        <f ca="1">A!A47</f>
        <v>Nombre de degrés liberté</v>
      </c>
      <c r="B47" s="1">
        <f>(B44+1)^2/((B44+1/B28)^2/(B26-1)+(1-1/B28)/B27)</f>
        <v>2.6666666666666665</v>
      </c>
      <c r="J47" s="1"/>
    </row>
    <row r="48" spans="1:10" x14ac:dyDescent="0.15">
      <c r="A48" t="str">
        <f ca="1">A!A48</f>
        <v>Probabilité tolérance (bêta)</v>
      </c>
      <c r="B48" s="16">
        <f>Bilan!C2</f>
        <v>0.8</v>
      </c>
    </row>
    <row r="49" spans="1:2" x14ac:dyDescent="0.15">
      <c r="A49" t="str">
        <f ca="1">A!A49</f>
        <v>t Student bas</v>
      </c>
      <c r="B49" s="1">
        <f>TINV(1-B48,ROUNDDOWN(B47,0))</f>
        <v>1.8856180831641269</v>
      </c>
    </row>
    <row r="50" spans="1:2" x14ac:dyDescent="0.15">
      <c r="A50" t="str">
        <f ca="1">A!A50</f>
        <v>t Student haut</v>
      </c>
      <c r="B50" s="1">
        <f>TINV(1-B48,ROUNDUP(B47,0))</f>
        <v>1.63774435369621</v>
      </c>
    </row>
    <row r="51" spans="1:2" x14ac:dyDescent="0.15">
      <c r="A51" t="str">
        <f ca="1">A!A51</f>
        <v>Facteur de couverture (ktol)</v>
      </c>
      <c r="B51" s="1">
        <f>B49-(B49-B50)*(B47-ROUNDDOWN(B47,0))</f>
        <v>1.7203689301855156</v>
      </c>
    </row>
    <row r="52" spans="1:2" x14ac:dyDescent="0.15">
      <c r="A52" t="str">
        <f ca="1">A!A52</f>
        <v>Écart-type du IT (sIT)</v>
      </c>
      <c r="B52" s="1">
        <f>B40*B46</f>
        <v>1.1632390124131848</v>
      </c>
    </row>
    <row r="53" spans="1:2" x14ac:dyDescent="0.15">
      <c r="A53" t="str">
        <f ca="1">A!A53</f>
        <v>Valeur basse intervalle tolérance</v>
      </c>
      <c r="B53" s="1">
        <f>B37-B51*B52</f>
        <v>20.023799744664672</v>
      </c>
    </row>
    <row r="54" spans="1:2" x14ac:dyDescent="0.15">
      <c r="A54" t="str">
        <f ca="1">A!A54</f>
        <v>Valeur haute intervalle tolérance</v>
      </c>
      <c r="B54" s="1">
        <f>B37+B51*B52</f>
        <v>24.026200255335326</v>
      </c>
    </row>
    <row r="55" spans="1:2" s="2" customFormat="1" x14ac:dyDescent="0.15">
      <c r="A55" s="2" t="str">
        <f ca="1">A!A55</f>
        <v>Incertitude</v>
      </c>
      <c r="B55" s="4"/>
    </row>
    <row r="56" spans="1:2" x14ac:dyDescent="0.15">
      <c r="A56" t="str">
        <f ca="1">A!A56</f>
        <v>Incertitude-type composée</v>
      </c>
      <c r="B56" s="1">
        <f>B52</f>
        <v>1.1632390124131848</v>
      </c>
    </row>
    <row r="57" spans="1:2" x14ac:dyDescent="0.15">
      <c r="A57" t="str">
        <f ca="1">A!A57</f>
        <v>Incertitude étendue</v>
      </c>
      <c r="B57" s="1">
        <f>2*B56</f>
        <v>2.3264780248263697</v>
      </c>
    </row>
    <row r="58" spans="1:2" x14ac:dyDescent="0.15">
      <c r="A58" t="str">
        <f ca="1">A!A58</f>
        <v>Incertitude relative (%)</v>
      </c>
      <c r="B58" s="16">
        <f>B57/B2</f>
        <v>0.10770731596418377</v>
      </c>
    </row>
    <row r="59" spans="1:2" x14ac:dyDescent="0.15">
      <c r="A59" t="str">
        <f ca="1">A!A59</f>
        <v>Limite basse incertitude relative (%)</v>
      </c>
      <c r="B59" s="25">
        <f>1-B58</f>
        <v>0.89229268403581619</v>
      </c>
    </row>
    <row r="60" spans="1:2" x14ac:dyDescent="0.15">
      <c r="A60" t="str">
        <f ca="1">A!A60</f>
        <v>Limite haute incertitude relative (%)</v>
      </c>
      <c r="B60" s="25">
        <f>1+B58</f>
        <v>1.1077073159641837</v>
      </c>
    </row>
  </sheetData>
  <sheetProtection password="D828" sheet="1" objects="1" scenarios="1"/>
  <phoneticPr fontId="2" type="noConversion"/>
  <printOptions headings="1" gridLines="1"/>
  <pageMargins left="0.78740157499999996" right="0.78740157499999996" top="0.56999999999999995" bottom="0.56999999999999995" header="0.33" footer="0.34"/>
  <pageSetup paperSize="9" scale="96" orientation="landscape" horizontalDpi="300" verticalDpi="300" r:id="rId1"/>
  <headerFooter alignWithMargins="0">
    <oddFooter>&amp;A&amp;RPage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Feuilles de calcul</vt:lpstr>
      </vt:variant>
      <vt:variant>
        <vt:i4>16</vt:i4>
      </vt:variant>
      <vt:variant>
        <vt:lpstr>Graphiques</vt:lpstr>
      </vt:variant>
      <vt:variant>
        <vt:i4>3</vt:i4>
      </vt:variant>
      <vt:variant>
        <vt:lpstr>Plages nommées</vt:lpstr>
      </vt:variant>
      <vt:variant>
        <vt:i4>1</vt:i4>
      </vt:variant>
    </vt:vector>
  </HeadingPairs>
  <TitlesOfParts>
    <vt:vector size="20" baseType="lpstr">
      <vt:lpstr>Mode d'emploi</vt:lpstr>
      <vt:lpstr>Bilan</vt:lpstr>
      <vt:lpstr>A</vt:lpstr>
      <vt:lpstr>B</vt:lpstr>
      <vt:lpstr>C</vt:lpstr>
      <vt:lpstr>D</vt:lpstr>
      <vt:lpstr>E</vt:lpstr>
      <vt:lpstr>F</vt:lpstr>
      <vt:lpstr>G</vt:lpstr>
      <vt:lpstr>Fonction biais de mesure</vt:lpstr>
      <vt:lpstr>Choix correction biais</vt:lpstr>
      <vt:lpstr>Expression résultat mesure</vt:lpstr>
      <vt:lpstr>Discrimination et effectif mini</vt:lpstr>
      <vt:lpstr>Valeurs carte de controle</vt:lpstr>
      <vt:lpstr>Dossier de validation</vt:lpstr>
      <vt:lpstr>LOQ</vt:lpstr>
      <vt:lpstr>Profil exactitude</vt:lpstr>
      <vt:lpstr>Fonction incertitude</vt:lpstr>
      <vt:lpstr>Profil incertitude</vt:lpstr>
      <vt:lpstr>A!Zone_d_impression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Calcu dans le cas équilibré</dc:title>
  <dc:creator>Max Feinberg</dc:creator>
  <cp:lastModifiedBy>Stephane Andanson</cp:lastModifiedBy>
  <cp:lastPrinted>2007-10-21T15:25:48Z</cp:lastPrinted>
  <dcterms:created xsi:type="dcterms:W3CDTF">2007-10-13T05:40:06Z</dcterms:created>
  <dcterms:modified xsi:type="dcterms:W3CDTF">2025-09-18T14:29:24Z</dcterms:modified>
  <cp:contentStatus/>
</cp:coreProperties>
</file>